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15" yWindow="1515" windowWidth="18795" windowHeight="5775" tabRatio="893" activeTab="0"/>
  </bookViews>
  <sheets>
    <sheet name="Modo de usar a planilha" sheetId="1" r:id="rId1"/>
    <sheet name="Classificador Espiral" sheetId="2" r:id="rId2"/>
    <sheet name="Tabelas" sheetId="3" state="veryHidden" r:id="rId3"/>
  </sheets>
  <definedNames>
    <definedName name="Aber">#REF!</definedName>
    <definedName name="aberta">#REF!</definedName>
    <definedName name="AberturaA">#REF!</definedName>
    <definedName name="_xlnm.Print_Area" localSheetId="1">'Classificador Espiral'!$A$1:$K$51</definedName>
    <definedName name="conhecimento">#REF!</definedName>
    <definedName name="conhecimento2">#REF!</definedName>
    <definedName name="decks">#REF!</definedName>
    <definedName name="diametro">'Tabelas'!$A$100:$A$110</definedName>
    <definedName name="efgrelha">#REF!</definedName>
    <definedName name="eficiencia">#REF!</definedName>
    <definedName name="eficienciagrelha">#REF!</definedName>
    <definedName name="faixa">'Tabelas'!$C$26:$C$31</definedName>
    <definedName name="fatorC">#REF!</definedName>
    <definedName name="fatork">#REF!</definedName>
    <definedName name="fatorm">#REF!</definedName>
    <definedName name="forma">#REF!</definedName>
    <definedName name="material">#REF!</definedName>
    <definedName name="materialB">#REF!</definedName>
    <definedName name="modelo">'Tabelas'!$O$358:$Q$358</definedName>
    <definedName name="naopassante">#REF!</definedName>
    <definedName name="pass">#REF!</definedName>
    <definedName name="passante">#REF!</definedName>
    <definedName name="Passos">'Tabelas'!$L$134:$L$136</definedName>
    <definedName name="peneirapadrao">#REF!</definedName>
    <definedName name="seca">#REF!</definedName>
    <definedName name="tanque">'Classificador Espiral'!$Z$10:$Z$42</definedName>
    <definedName name="umida">#REF!</definedName>
  </definedNames>
  <calcPr fullCalcOnLoad="1"/>
</workbook>
</file>

<file path=xl/comments2.xml><?xml version="1.0" encoding="utf-8"?>
<comments xmlns="http://schemas.openxmlformats.org/spreadsheetml/2006/main">
  <authors>
    <author>Hatch</author>
  </authors>
  <commentList>
    <comment ref="D32" authorId="0">
      <text>
        <r>
          <rPr>
            <b/>
            <sz val="8"/>
            <rFont val="Tahoma"/>
            <family val="2"/>
          </rPr>
          <t>DynaMine:</t>
        </r>
        <r>
          <rPr>
            <sz val="8"/>
            <rFont val="Tahoma"/>
            <family val="2"/>
          </rPr>
          <t xml:space="preserve">
Forá da área de impressão há os diametros possiveis ja dimensionados</t>
        </r>
      </text>
    </comment>
  </commentList>
</comments>
</file>

<file path=xl/sharedStrings.xml><?xml version="1.0" encoding="utf-8"?>
<sst xmlns="http://schemas.openxmlformats.org/spreadsheetml/2006/main" count="436" uniqueCount="231">
  <si>
    <t>t/h</t>
  </si>
  <si>
    <t>Alimentação projeto</t>
  </si>
  <si>
    <t>mm</t>
  </si>
  <si>
    <t>%</t>
  </si>
  <si>
    <t>t/m³</t>
  </si>
  <si>
    <t>m³/h</t>
  </si>
  <si>
    <t>m²</t>
  </si>
  <si>
    <t>Au =</t>
  </si>
  <si>
    <t>ρ =</t>
  </si>
  <si>
    <t>An =</t>
  </si>
  <si>
    <t>Ap =</t>
  </si>
  <si>
    <t>-</t>
  </si>
  <si>
    <t>x =</t>
  </si>
  <si>
    <t>Fator de Projeto</t>
  </si>
  <si>
    <t>%S =</t>
  </si>
  <si>
    <t>Peneira Convencional</t>
  </si>
  <si>
    <t>Movimento :</t>
  </si>
  <si>
    <t>Material passante (%) :</t>
  </si>
  <si>
    <t>Alimentação Nominal (base seca)</t>
  </si>
  <si>
    <t>Massa de Polpa</t>
  </si>
  <si>
    <t xml:space="preserve">Volume de Minério </t>
  </si>
  <si>
    <r>
      <t xml:space="preserve">DIMENSIONAMENTO DE EQUIPAMENTO DE PROCESSO
</t>
    </r>
    <r>
      <rPr>
        <b/>
        <sz val="10"/>
        <rFont val="Arial"/>
        <family val="2"/>
      </rPr>
      <t>PENEIRAS</t>
    </r>
  </si>
  <si>
    <t>Tamanho da particula (mm)</t>
  </si>
  <si>
    <t>0.300-12.7</t>
  </si>
  <si>
    <t>0.100-12.7</t>
  </si>
  <si>
    <t>0.100-0.6</t>
  </si>
  <si>
    <t>0.075-0.6</t>
  </si>
  <si>
    <t>0.075-0.3</t>
  </si>
  <si>
    <t>0.045-0.2</t>
  </si>
  <si>
    <t>Gravidade especifica</t>
  </si>
  <si>
    <t>M/s</t>
  </si>
  <si>
    <t>Eff. %</t>
  </si>
  <si>
    <t>Tabela 1A - Eficiencia do recolhimento de areia e velocidade do espiral</t>
  </si>
  <si>
    <t>Tabela 1B - Eficiencia do recolhimento de areia e velocidade do espiral</t>
  </si>
  <si>
    <r>
      <t>F</t>
    </r>
    <r>
      <rPr>
        <vertAlign val="subscript"/>
        <sz val="10"/>
        <rFont val="Arial"/>
        <family val="2"/>
      </rPr>
      <t xml:space="preserve">80 </t>
    </r>
    <r>
      <rPr>
        <vertAlign val="subscript"/>
        <sz val="12"/>
        <rFont val="Arial"/>
        <family val="2"/>
      </rPr>
      <t>=</t>
    </r>
  </si>
  <si>
    <t>Alimentação</t>
  </si>
  <si>
    <t>Separação =</t>
  </si>
  <si>
    <t>% Sólidos massica</t>
  </si>
  <si>
    <t>% Sólidos volume</t>
  </si>
  <si>
    <t>Volume da polpa</t>
  </si>
  <si>
    <r>
      <t>A</t>
    </r>
    <r>
      <rPr>
        <vertAlign val="subscript"/>
        <sz val="10"/>
        <rFont val="Arial"/>
        <family val="2"/>
      </rPr>
      <t xml:space="preserve">polpa </t>
    </r>
    <r>
      <rPr>
        <vertAlign val="subscript"/>
        <sz val="12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</si>
  <si>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minerio </t>
    </r>
    <r>
      <rPr>
        <vertAlign val="subscript"/>
        <sz val="12"/>
        <rFont val="Arial"/>
        <family val="2"/>
      </rPr>
      <t>=</t>
    </r>
  </si>
  <si>
    <t>% de solidos por volume</t>
  </si>
  <si>
    <t>t/h agua</t>
  </si>
  <si>
    <t>m³/h polpa</t>
  </si>
  <si>
    <t>% de solidos por peso</t>
  </si>
  <si>
    <t>t/h solidos</t>
  </si>
  <si>
    <t>±</t>
  </si>
  <si>
    <t>Faixa:</t>
  </si>
  <si>
    <t>Velocidade periferica =</t>
  </si>
  <si>
    <t>Eficiencia =</t>
  </si>
  <si>
    <t>Capacidade de recolhimento "corrigida" =</t>
  </si>
  <si>
    <t>m/s</t>
  </si>
  <si>
    <t>Alim.</t>
  </si>
  <si>
    <t>Gravid. Esp</t>
  </si>
  <si>
    <t>y = 88.889*E23^6 - 1666.7*E23^5 + 12556*E23^4 - 48583*E23^3 + 101856*E23^2 - 109250*E23^ + 50500</t>
  </si>
  <si>
    <t>y = -7E-08*E23^6 + 133.33*E23^5 - 2333.3*E23^4 + 15833*E23^3 - 51917*E23^2 + 82783*E23^ - 44000</t>
  </si>
  <si>
    <t>y = -88.889*E23^6 + 1800*E23^5 - 14889*E23^4 + 64417*E23^3 - 153772*E23^2 + 192533*E23^ - 95500</t>
  </si>
  <si>
    <t>y = -5E-08*E23^6 - 133.33*E23^5 + 2333.3*E23^4 - 15833*E23^3 + 51917*E23^2 - 81783*E23^ + 56500</t>
  </si>
  <si>
    <t>y = -88.889*E23^6 + 1800*E23^5 - 14889*E23^4 + 64417*E23^3 - 153772*E23^2 + 192033*E23^ - 94500</t>
  </si>
  <si>
    <t>y = -35.556*E23^6 + 773.33*E23^5 - 6888.9*E23^4 + 32100*E23^3 - 82276*E23^2 + 110027*E23^ - 53300</t>
  </si>
  <si>
    <t>y = 124.44*E23^6 - 2626.7*E23^5 + 22711*E23^4 - 102850*E23^3 + 256814*E23^2 - 333973*E23^ + 182200</t>
  </si>
  <si>
    <t>y = 124.44*E23^6 - 2600*E23^5 + 22244*E23^4 - 99683*E23^3 + 246431*E23^2 - 317217*E23^ + 170500</t>
  </si>
  <si>
    <t>y = 88.889*E23^6 - 1666.7*E23^5 + 12556*E23^4 - 48583*E23^3 + 101856*E23^2 - 109750*E23^ + 50500</t>
  </si>
  <si>
    <t>y = 355.56*E23^6 - 7466.7*E23^5 + 64222*E23^4 - 289333*E23^3 + 718922*E23^2 - 931700*E23^ + 496000</t>
  </si>
  <si>
    <t>Corte (Tyler)</t>
  </si>
  <si>
    <t>Unit.</t>
  </si>
  <si>
    <t>media (w/w)</t>
  </si>
  <si>
    <t>Capacidade de "underflow" (m³/h)</t>
  </si>
  <si>
    <t>Diametro da Espira (")</t>
  </si>
  <si>
    <t>24"</t>
  </si>
  <si>
    <t>30"</t>
  </si>
  <si>
    <t>36"</t>
  </si>
  <si>
    <t>42"</t>
  </si>
  <si>
    <t>48"</t>
  </si>
  <si>
    <t>54"</t>
  </si>
  <si>
    <t>60"</t>
  </si>
  <si>
    <t>66"</t>
  </si>
  <si>
    <t>72"</t>
  </si>
  <si>
    <t>78"</t>
  </si>
  <si>
    <t>84"</t>
  </si>
  <si>
    <t>Capacidade (t/rpm)</t>
  </si>
  <si>
    <t>Faixa de rotação (rpm)</t>
  </si>
  <si>
    <t>6.0 a 16.0</t>
  </si>
  <si>
    <t>5.0 a 13.0</t>
  </si>
  <si>
    <t>4.0 a 11.0</t>
  </si>
  <si>
    <t>3.5 a 9.0</t>
  </si>
  <si>
    <t>3.2 a 8.0</t>
  </si>
  <si>
    <t>2.9 a 7.0</t>
  </si>
  <si>
    <t>2.6 a 6.5</t>
  </si>
  <si>
    <t>2.3 a 6.0</t>
  </si>
  <si>
    <t>2.1 a 5.3</t>
  </si>
  <si>
    <t>2.0 a 5.0</t>
  </si>
  <si>
    <t>1.8 a 4.5</t>
  </si>
  <si>
    <t>Capacidade minima (1 espira a menor rotação)</t>
  </si>
  <si>
    <t>Capacidade media (2 espira a rotação intermediaria)</t>
  </si>
  <si>
    <t>Capacidade maxima (3 espira a maior rotação)</t>
  </si>
  <si>
    <t>pol</t>
  </si>
  <si>
    <t>Diametro da espira escolhido =</t>
  </si>
  <si>
    <t>t/rpm</t>
  </si>
  <si>
    <t>Faixa de rotação :</t>
  </si>
  <si>
    <t>Capacidade =</t>
  </si>
  <si>
    <t>rpm</t>
  </si>
  <si>
    <t>Numero de passos escolhido =</t>
  </si>
  <si>
    <t>Rotação escolhida =</t>
  </si>
  <si>
    <t>Capacidades da espiral (t/h)</t>
  </si>
  <si>
    <t>Minima (1 espira a menor rotação)</t>
  </si>
  <si>
    <t>Intermediaria (2 espiras a rotação media)</t>
  </si>
  <si>
    <t>Maxima (3 espiras a maior rotação)</t>
  </si>
  <si>
    <t>Tamanho da particula equivalente =</t>
  </si>
  <si>
    <t>1 passo</t>
  </si>
  <si>
    <t>2 passo</t>
  </si>
  <si>
    <t>3 passo</t>
  </si>
  <si>
    <t>rotação</t>
  </si>
  <si>
    <t>velocidade</t>
  </si>
  <si>
    <t>vel. perif.</t>
  </si>
  <si>
    <t>Velocidade periferica maxima =</t>
  </si>
  <si>
    <t>Diametros possiveis para a capacidade, velocidade periferica e rotaçao maxima e minima da espiral.</t>
  </si>
  <si>
    <t>tamanho</t>
  </si>
  <si>
    <t>% de solidos em volume</t>
  </si>
  <si>
    <t>taxa de extravasamento (m³/h)</t>
  </si>
  <si>
    <t>tamanho(micro)</t>
  </si>
  <si>
    <t>% de solidos</t>
  </si>
  <si>
    <t>Taxa de sedimentação =</t>
  </si>
  <si>
    <t>m/h</t>
  </si>
  <si>
    <t>Taxa de sedimentação a 40% =</t>
  </si>
  <si>
    <t>Mod. 125</t>
  </si>
  <si>
    <t>Mod. 150</t>
  </si>
  <si>
    <t>Mod. 100</t>
  </si>
  <si>
    <t>24" - Estreito</t>
  </si>
  <si>
    <t>24" - Medio</t>
  </si>
  <si>
    <t>24" - Largo</t>
  </si>
  <si>
    <t>30" - Estreito</t>
  </si>
  <si>
    <t>30" - Medio</t>
  </si>
  <si>
    <t>30" - Largo</t>
  </si>
  <si>
    <t>36" - Estreito</t>
  </si>
  <si>
    <t>36" - Medio</t>
  </si>
  <si>
    <t>36" - Largo</t>
  </si>
  <si>
    <t>42" - Estreito</t>
  </si>
  <si>
    <t>42" - Medio</t>
  </si>
  <si>
    <t>42" - Largo</t>
  </si>
  <si>
    <t>48" - Estreito</t>
  </si>
  <si>
    <t>48" - Medio</t>
  </si>
  <si>
    <t>48" - Largo</t>
  </si>
  <si>
    <t>54" - Estreito</t>
  </si>
  <si>
    <t>54" - Medio</t>
  </si>
  <si>
    <t>54" - Largo</t>
  </si>
  <si>
    <t>60" - Estreito</t>
  </si>
  <si>
    <t>60" - Medio</t>
  </si>
  <si>
    <t>60" - Largo</t>
  </si>
  <si>
    <t>66" - Estreito</t>
  </si>
  <si>
    <t>66" - Medio</t>
  </si>
  <si>
    <t>66" - Largo</t>
  </si>
  <si>
    <t>72" - Estreito</t>
  </si>
  <si>
    <t>72" - Medio</t>
  </si>
  <si>
    <t>72" - Largo</t>
  </si>
  <si>
    <t>78" - Estreito</t>
  </si>
  <si>
    <t>78" - Medio</t>
  </si>
  <si>
    <t>78" - Largo</t>
  </si>
  <si>
    <t>84" - Estreito</t>
  </si>
  <si>
    <t>84" - Medio</t>
  </si>
  <si>
    <t>84" - Largo</t>
  </si>
  <si>
    <t>pe quadrado</t>
  </si>
  <si>
    <t>metro quadrado</t>
  </si>
  <si>
    <t>% da massa</t>
  </si>
  <si>
    <t>Area max=</t>
  </si>
  <si>
    <t>Modelos possiveis pela area de sedimentaçao e compressao</t>
  </si>
  <si>
    <t>Modelo escolhido =</t>
  </si>
  <si>
    <t>Tipo de tanque =</t>
  </si>
  <si>
    <t>Modelo</t>
  </si>
  <si>
    <t>Equipamento escolhido:</t>
  </si>
  <si>
    <t>Modelo:</t>
  </si>
  <si>
    <t>Diametro da espira e tipo de tanque:</t>
  </si>
  <si>
    <t>36"-Largo</t>
  </si>
  <si>
    <t>24"-Estreito</t>
  </si>
  <si>
    <t>24"-Medio</t>
  </si>
  <si>
    <t>24"-Largo</t>
  </si>
  <si>
    <t>30"-Estreito</t>
  </si>
  <si>
    <t>30"-Medio</t>
  </si>
  <si>
    <t>30"-Largo</t>
  </si>
  <si>
    <t>36"-Estreito</t>
  </si>
  <si>
    <t>36"-Medio</t>
  </si>
  <si>
    <t>42"-Estreito</t>
  </si>
  <si>
    <t>42"-Medio</t>
  </si>
  <si>
    <t>42"-Largo</t>
  </si>
  <si>
    <t>48"-Estreito</t>
  </si>
  <si>
    <t>48"-Medio</t>
  </si>
  <si>
    <t>48"-Largo</t>
  </si>
  <si>
    <t>54"-Estreito</t>
  </si>
  <si>
    <t>54"-Medio</t>
  </si>
  <si>
    <t>54"-Largo</t>
  </si>
  <si>
    <t>60"-Estreito</t>
  </si>
  <si>
    <t>60"-Medio</t>
  </si>
  <si>
    <t>60"-Largo</t>
  </si>
  <si>
    <t>66"-Estreito</t>
  </si>
  <si>
    <t>66"-Medio</t>
  </si>
  <si>
    <t>66"-Largo</t>
  </si>
  <si>
    <t>72"-Estreito</t>
  </si>
  <si>
    <t>72"-Medio</t>
  </si>
  <si>
    <t>72"-Largo</t>
  </si>
  <si>
    <t>78"-Estreito</t>
  </si>
  <si>
    <t>78"-Medio</t>
  </si>
  <si>
    <t>78"-Largo</t>
  </si>
  <si>
    <t>84"-Estreito</t>
  </si>
  <si>
    <t>84"-Medio</t>
  </si>
  <si>
    <t>84"-Largo</t>
  </si>
  <si>
    <t>Passos</t>
  </si>
  <si>
    <t>Numero de equipamentos:</t>
  </si>
  <si>
    <t>Numero de equipamentos =</t>
  </si>
  <si>
    <t xml:space="preserve">Densidade </t>
  </si>
  <si>
    <t>micro</t>
  </si>
  <si>
    <t>taxa</t>
  </si>
  <si>
    <t>Área de sedimentação =</t>
  </si>
  <si>
    <t>Área de compressão =</t>
  </si>
  <si>
    <t>Área do tanque =</t>
  </si>
  <si>
    <t>Modo de usar a planilha.</t>
  </si>
  <si>
    <t>Não</t>
  </si>
  <si>
    <t>cinza</t>
  </si>
  <si>
    <t>da aba</t>
  </si>
  <si>
    <t>Classificador Espiral</t>
  </si>
  <si>
    <t>Deve-se preencher as celulas superiores em</t>
  </si>
  <si>
    <t xml:space="preserve">Ao lado da área de impresão, há uma tabela com os modelos possiveis de diametro de espira, considerando todos os fatores. </t>
  </si>
  <si>
    <t>Em baixo desta tabela, há 2 tabelas. A da esquerda mostra os passos e rotação ideal. A da direita mostra a area dos equipamentos.</t>
  </si>
  <si>
    <t xml:space="preserve"> a todos os parametros</t>
  </si>
  <si>
    <t>Modelos possiveis em relação</t>
  </si>
  <si>
    <t>Se esta em vermelho é porque a rotação requerida é maior do que a minima.</t>
  </si>
  <si>
    <t>A espiral pode ser utilizada, mas com sua rotação minima, não a ideal.</t>
  </si>
  <si>
    <t xml:space="preserve">Esta planilha tem função didática apenas e não deve ser usada comercialmente. </t>
  </si>
  <si>
    <t xml:space="preserve">Para informações sobre dimensionamento de equipamentos, contate: </t>
  </si>
  <si>
    <t>engenharia@dynamine.com.br</t>
  </si>
  <si>
    <t>www.dynamine.com.br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</si>
</sst>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000000000"/>
    <numFmt numFmtId="187" formatCode="0.000000000"/>
    <numFmt numFmtId="188" formatCode="0.00000000000"/>
    <numFmt numFmtId="189" formatCode="dd/mmmm/yy"/>
    <numFmt numFmtId="190" formatCode="00"/>
    <numFmt numFmtId="191" formatCode="[$-416]dddd\,\ d&quot; de &quot;mmmm&quot; de &quot;yyyy"/>
    <numFmt numFmtId="192" formatCode="d/mmmm/yy"/>
    <numFmt numFmtId="193" formatCode="_(* #,##0.0_);_(* \(#,##0.0\);_(* &quot;-&quot;??_);_(@_)"/>
    <numFmt numFmtId="194" formatCode="_(* #,##0.000_);_(* \(#,##0.000\);_(* &quot;-&quot;??_);_(@_)"/>
    <numFmt numFmtId="195" formatCode="_(* #,##0.0000_);_(* \(#,##0.00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1.5"/>
      <color indexed="12"/>
      <name val="Arial"/>
      <family val="2"/>
    </font>
    <font>
      <vertAlign val="subscript"/>
      <sz val="12"/>
      <name val="Arial"/>
      <family val="2"/>
    </font>
    <font>
      <u val="single"/>
      <sz val="17.5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5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.7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33" borderId="0" xfId="0" applyNumberFormat="1" applyFill="1" applyAlignment="1" applyProtection="1">
      <alignment horizontal="center" vertical="center"/>
      <protection locked="0"/>
    </xf>
    <xf numFmtId="10" fontId="0" fillId="33" borderId="0" xfId="52" applyNumberForma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79" fontId="0" fillId="0" borderId="10" xfId="0" applyNumberFormat="1" applyBorder="1" applyAlignment="1">
      <alignment/>
    </xf>
    <xf numFmtId="9" fontId="0" fillId="0" borderId="10" xfId="52" applyFont="1" applyBorder="1" applyAlignment="1">
      <alignment/>
    </xf>
    <xf numFmtId="2" fontId="0" fillId="0" borderId="10" xfId="0" applyNumberFormat="1" applyBorder="1" applyAlignment="1">
      <alignment/>
    </xf>
    <xf numFmtId="179" fontId="0" fillId="33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Border="1" applyAlignment="1">
      <alignment/>
    </xf>
    <xf numFmtId="178" fontId="0" fillId="33" borderId="0" xfId="0" applyNumberFormat="1" applyFill="1" applyAlignment="1" applyProtection="1">
      <alignment horizontal="center" vertical="center"/>
      <protection locked="0"/>
    </xf>
    <xf numFmtId="0" fontId="0" fillId="0" borderId="10" xfId="52" applyNumberFormat="1" applyFont="1" applyFill="1" applyBorder="1" applyAlignment="1">
      <alignment/>
    </xf>
    <xf numFmtId="0" fontId="0" fillId="0" borderId="0" xfId="52" applyNumberFormat="1" applyFont="1" applyFill="1" applyBorder="1" applyAlignment="1">
      <alignment/>
    </xf>
    <xf numFmtId="0" fontId="0" fillId="0" borderId="10" xfId="52" applyNumberFormat="1" applyFont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178" fontId="0" fillId="0" borderId="1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3" fontId="0" fillId="0" borderId="10" xfId="54" applyNumberFormat="1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1" fillId="0" borderId="0" xfId="0" applyFont="1" applyAlignment="1">
      <alignment/>
    </xf>
    <xf numFmtId="1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1" fontId="0" fillId="33" borderId="0" xfId="0" applyNumberFormat="1" applyFill="1" applyAlignment="1" applyProtection="1">
      <alignment horizontal="center" vertical="center"/>
      <protection locked="0"/>
    </xf>
    <xf numFmtId="9" fontId="0" fillId="33" borderId="10" xfId="52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10" fontId="0" fillId="0" borderId="0" xfId="52" applyNumberFormat="1" applyFill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/>
    </xf>
    <xf numFmtId="171" fontId="0" fillId="0" borderId="16" xfId="54" applyNumberFormat="1" applyFont="1" applyBorder="1" applyAlignment="1" applyProtection="1">
      <alignment/>
      <protection/>
    </xf>
    <xf numFmtId="178" fontId="0" fillId="0" borderId="10" xfId="0" applyNumberFormat="1" applyBorder="1" applyAlignment="1" applyProtection="1">
      <alignment vertical="center"/>
      <protection/>
    </xf>
    <xf numFmtId="9" fontId="0" fillId="0" borderId="10" xfId="52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8" fontId="0" fillId="0" borderId="10" xfId="52" applyNumberFormat="1" applyFont="1" applyBorder="1" applyAlignment="1" applyProtection="1">
      <alignment vertical="center"/>
      <protection/>
    </xf>
    <xf numFmtId="9" fontId="0" fillId="0" borderId="10" xfId="52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179" fontId="0" fillId="0" borderId="0" xfId="0" applyNumberFormat="1" applyFill="1" applyAlignment="1" applyProtection="1">
      <alignment horizontal="left" vertical="center"/>
      <protection/>
    </xf>
    <xf numFmtId="178" fontId="0" fillId="34" borderId="1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9" fontId="0" fillId="0" borderId="0" xfId="52" applyAlignment="1" applyProtection="1">
      <alignment vertical="center"/>
      <protection/>
    </xf>
    <xf numFmtId="9" fontId="0" fillId="0" borderId="0" xfId="52" applyFont="1" applyFill="1" applyAlignment="1" applyProtection="1">
      <alignment horizontal="center" vertical="center"/>
      <protection/>
    </xf>
    <xf numFmtId="9" fontId="0" fillId="0" borderId="0" xfId="0" applyNumberFormat="1" applyFill="1" applyAlignment="1" applyProtection="1">
      <alignment horizontal="center" vertical="center"/>
      <protection/>
    </xf>
    <xf numFmtId="9" fontId="0" fillId="0" borderId="0" xfId="0" applyNumberFormat="1" applyFill="1" applyAlignment="1" applyProtection="1">
      <alignment horizontal="right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93" fontId="0" fillId="0" borderId="17" xfId="54" applyNumberFormat="1" applyFont="1" applyBorder="1" applyAlignment="1" applyProtection="1">
      <alignment/>
      <protection/>
    </xf>
    <xf numFmtId="0" fontId="11" fillId="35" borderId="0" xfId="0" applyFont="1" applyFill="1" applyAlignment="1" applyProtection="1">
      <alignment vertical="center"/>
      <protection/>
    </xf>
    <xf numFmtId="178" fontId="0" fillId="0" borderId="10" xfId="0" applyNumberForma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9" fontId="0" fillId="0" borderId="0" xfId="0" applyNumberFormat="1" applyFill="1" applyBorder="1" applyAlignment="1" applyProtection="1">
      <alignment horizontal="center" vertical="center"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2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6" borderId="0" xfId="0" applyFill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wrapText="1" shrinkToFi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29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5"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075"/>
          <c:w val="0.85475"/>
          <c:h val="0.909"/>
        </c:manualLayout>
      </c:layout>
      <c:scatterChart>
        <c:scatterStyle val="smoothMarker"/>
        <c:varyColors val="0"/>
        <c:ser>
          <c:idx val="0"/>
          <c:order val="0"/>
          <c:tx>
            <c:v>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Tabelas!$M$180:$M$198</c:f>
              <c:numCache/>
            </c:numRef>
          </c:xVal>
          <c:yVal>
            <c:numRef>
              <c:f>Tabelas!$N$180:$N$198</c:f>
              <c:numCache/>
            </c:numRef>
          </c:yVal>
          <c:smooth val="1"/>
        </c:ser>
        <c:ser>
          <c:idx val="1"/>
          <c:order val="1"/>
          <c:tx>
            <c:v>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Tabelas!$M$180:$M$198</c:f>
              <c:numCache/>
            </c:numRef>
          </c:xVal>
          <c:yVal>
            <c:numRef>
              <c:f>Tabelas!$O$180:$O$198</c:f>
              <c:numCache/>
            </c:numRef>
          </c:yVal>
          <c:smooth val="1"/>
        </c:ser>
        <c:ser>
          <c:idx val="2"/>
          <c:order val="2"/>
          <c:tx>
            <c:v>10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Tabelas!$M$180:$M$198</c:f>
              <c:numCache/>
            </c:numRef>
          </c:xVal>
          <c:yVal>
            <c:numRef>
              <c:f>Tabelas!$P$180:$P$198</c:f>
              <c:numCache/>
            </c:numRef>
          </c:yVal>
          <c:smooth val="1"/>
        </c:ser>
        <c:ser>
          <c:idx val="3"/>
          <c:order val="3"/>
          <c:tx>
            <c:v>15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Tabelas!$M$180:$M$198</c:f>
              <c:numCache/>
            </c:numRef>
          </c:xVal>
          <c:yVal>
            <c:numRef>
              <c:f>Tabelas!$Q$180:$Q$198</c:f>
              <c:numCache/>
            </c:numRef>
          </c:yVal>
          <c:smooth val="1"/>
        </c:ser>
        <c:ser>
          <c:idx val="4"/>
          <c:order val="4"/>
          <c:tx>
            <c:v>20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Tabelas!$M$180:$M$198</c:f>
              <c:numCache/>
            </c:numRef>
          </c:xVal>
          <c:yVal>
            <c:numRef>
              <c:f>Tabelas!$R$180:$R$198</c:f>
              <c:numCache/>
            </c:numRef>
          </c:yVal>
          <c:smooth val="1"/>
        </c:ser>
        <c:ser>
          <c:idx val="5"/>
          <c:order val="5"/>
          <c:tx>
            <c:v>25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Tabelas!$M$180:$M$198</c:f>
              <c:numCache/>
            </c:numRef>
          </c:xVal>
          <c:yVal>
            <c:numRef>
              <c:f>Tabelas!$S$180:$S$198</c:f>
              <c:numCache/>
            </c:numRef>
          </c:yVal>
          <c:smooth val="1"/>
        </c:ser>
        <c:ser>
          <c:idx val="6"/>
          <c:order val="6"/>
          <c:tx>
            <c:v>30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Tabelas!$M$180:$M$198</c:f>
              <c:numCache/>
            </c:numRef>
          </c:xVal>
          <c:yVal>
            <c:numRef>
              <c:f>Tabelas!$T$180:$T$198</c:f>
              <c:numCache/>
            </c:numRef>
          </c:yVal>
          <c:smooth val="1"/>
        </c:ser>
        <c:ser>
          <c:idx val="7"/>
          <c:order val="7"/>
          <c:tx>
            <c:v>35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Tabelas!$M$180:$M$198</c:f>
              <c:numCache/>
            </c:numRef>
          </c:xVal>
          <c:yVal>
            <c:numRef>
              <c:f>Tabelas!$U$180:$U$198</c:f>
              <c:numCache/>
            </c:numRef>
          </c:yVal>
          <c:smooth val="1"/>
        </c:ser>
        <c:ser>
          <c:idx val="8"/>
          <c:order val="8"/>
          <c:tx>
            <c:v>40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Tabelas!$M$180:$M$198</c:f>
              <c:numCache/>
            </c:numRef>
          </c:xVal>
          <c:yVal>
            <c:numRef>
              <c:f>Tabelas!$V$180:$V$198</c:f>
              <c:numCache/>
            </c:numRef>
          </c:yVal>
          <c:smooth val="1"/>
        </c:ser>
        <c:axId val="2345225"/>
        <c:axId val="21107026"/>
      </c:scatterChart>
      <c:valAx>
        <c:axId val="2345225"/>
        <c:scaling>
          <c:orientation val="minMax"/>
          <c:max val="2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Tamanho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7026"/>
        <c:crosses val="autoZero"/>
        <c:crossBetween val="midCat"/>
        <c:dispUnits/>
      </c:valAx>
      <c:valAx>
        <c:axId val="2110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de estravazamento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225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75"/>
          <c:y val="0.25825"/>
          <c:w val="0.0755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1</xdr:row>
      <xdr:rowOff>19050</xdr:rowOff>
    </xdr:from>
    <xdr:to>
      <xdr:col>14</xdr:col>
      <xdr:colOff>523875</xdr:colOff>
      <xdr:row>8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21041" b="19523"/>
        <a:stretch>
          <a:fillRect/>
        </a:stretch>
      </xdr:blipFill>
      <xdr:spPr>
        <a:xfrm>
          <a:off x="5867400" y="180975"/>
          <a:ext cx="2790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20</xdr:row>
      <xdr:rowOff>85725</xdr:rowOff>
    </xdr:from>
    <xdr:to>
      <xdr:col>4</xdr:col>
      <xdr:colOff>276225</xdr:colOff>
      <xdr:row>23</xdr:row>
      <xdr:rowOff>19050</xdr:rowOff>
    </xdr:to>
    <xdr:sp>
      <xdr:nvSpPr>
        <xdr:cNvPr id="1" name="AutoShape 92"/>
        <xdr:cNvSpPr>
          <a:spLocks/>
        </xdr:cNvSpPr>
      </xdr:nvSpPr>
      <xdr:spPr>
        <a:xfrm>
          <a:off x="2209800" y="4943475"/>
          <a:ext cx="91440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19050</xdr:rowOff>
    </xdr:from>
    <xdr:to>
      <xdr:col>6</xdr:col>
      <xdr:colOff>590550</xdr:colOff>
      <xdr:row>23</xdr:row>
      <xdr:rowOff>28575</xdr:rowOff>
    </xdr:to>
    <xdr:sp>
      <xdr:nvSpPr>
        <xdr:cNvPr id="2" name="AutoShape 93"/>
        <xdr:cNvSpPr>
          <a:spLocks/>
        </xdr:cNvSpPr>
      </xdr:nvSpPr>
      <xdr:spPr>
        <a:xfrm flipV="1">
          <a:off x="3124200" y="4419600"/>
          <a:ext cx="2076450" cy="1152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16</xdr:row>
      <xdr:rowOff>485775</xdr:rowOff>
    </xdr:from>
    <xdr:to>
      <xdr:col>6</xdr:col>
      <xdr:colOff>590550</xdr:colOff>
      <xdr:row>18</xdr:row>
      <xdr:rowOff>19050</xdr:rowOff>
    </xdr:to>
    <xdr:sp>
      <xdr:nvSpPr>
        <xdr:cNvPr id="3" name="AutoShape 94"/>
        <xdr:cNvSpPr>
          <a:spLocks/>
        </xdr:cNvSpPr>
      </xdr:nvSpPr>
      <xdr:spPr>
        <a:xfrm flipH="1" flipV="1">
          <a:off x="4981575" y="4171950"/>
          <a:ext cx="21907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485775</xdr:rowOff>
    </xdr:from>
    <xdr:to>
      <xdr:col>6</xdr:col>
      <xdr:colOff>352425</xdr:colOff>
      <xdr:row>20</xdr:row>
      <xdr:rowOff>76200</xdr:rowOff>
    </xdr:to>
    <xdr:sp>
      <xdr:nvSpPr>
        <xdr:cNvPr id="4" name="AutoShape 95"/>
        <xdr:cNvSpPr>
          <a:spLocks/>
        </xdr:cNvSpPr>
      </xdr:nvSpPr>
      <xdr:spPr>
        <a:xfrm flipH="1">
          <a:off x="3619500" y="4171950"/>
          <a:ext cx="1343025" cy="762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20</xdr:row>
      <xdr:rowOff>76200</xdr:rowOff>
    </xdr:from>
    <xdr:to>
      <xdr:col>5</xdr:col>
      <xdr:colOff>161925</xdr:colOff>
      <xdr:row>20</xdr:row>
      <xdr:rowOff>85725</xdr:rowOff>
    </xdr:to>
    <xdr:sp>
      <xdr:nvSpPr>
        <xdr:cNvPr id="5" name="AutoShape 96"/>
        <xdr:cNvSpPr>
          <a:spLocks/>
        </xdr:cNvSpPr>
      </xdr:nvSpPr>
      <xdr:spPr>
        <a:xfrm flipH="1">
          <a:off x="2219325" y="4933950"/>
          <a:ext cx="1390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20</xdr:row>
      <xdr:rowOff>76200</xdr:rowOff>
    </xdr:from>
    <xdr:to>
      <xdr:col>3</xdr:col>
      <xdr:colOff>295275</xdr:colOff>
      <xdr:row>21</xdr:row>
      <xdr:rowOff>0</xdr:rowOff>
    </xdr:to>
    <xdr:sp>
      <xdr:nvSpPr>
        <xdr:cNvPr id="6" name="AutoShape 97"/>
        <xdr:cNvSpPr>
          <a:spLocks/>
        </xdr:cNvSpPr>
      </xdr:nvSpPr>
      <xdr:spPr>
        <a:xfrm rot="10800000" flipV="1">
          <a:off x="781050" y="4933950"/>
          <a:ext cx="1409700" cy="152400"/>
        </a:xfrm>
        <a:prstGeom prst="bentConnector3">
          <a:avLst>
            <a:gd name="adj" fmla="val 9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17</xdr:row>
      <xdr:rowOff>95250</xdr:rowOff>
    </xdr:from>
    <xdr:to>
      <xdr:col>7</xdr:col>
      <xdr:colOff>381000</xdr:colOff>
      <xdr:row>20</xdr:row>
      <xdr:rowOff>219075</xdr:rowOff>
    </xdr:to>
    <xdr:sp>
      <xdr:nvSpPr>
        <xdr:cNvPr id="7" name="AutoShape 98"/>
        <xdr:cNvSpPr>
          <a:spLocks/>
        </xdr:cNvSpPr>
      </xdr:nvSpPr>
      <xdr:spPr>
        <a:xfrm rot="16200000" flipH="1">
          <a:off x="5076825" y="4267200"/>
          <a:ext cx="561975" cy="809625"/>
        </a:xfrm>
        <a:prstGeom prst="bentConnector3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28575</xdr:rowOff>
    </xdr:from>
    <xdr:to>
      <xdr:col>4</xdr:col>
      <xdr:colOff>285750</xdr:colOff>
      <xdr:row>20</xdr:row>
      <xdr:rowOff>57150</xdr:rowOff>
    </xdr:to>
    <xdr:sp>
      <xdr:nvSpPr>
        <xdr:cNvPr id="8" name="AutoShape 123"/>
        <xdr:cNvSpPr>
          <a:spLocks/>
        </xdr:cNvSpPr>
      </xdr:nvSpPr>
      <xdr:spPr>
        <a:xfrm>
          <a:off x="1943100" y="4200525"/>
          <a:ext cx="1190625" cy="714375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3</xdr:row>
      <xdr:rowOff>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rcRect t="21041" b="19523"/>
        <a:stretch>
          <a:fillRect/>
        </a:stretch>
      </xdr:blipFill>
      <xdr:spPr>
        <a:xfrm>
          <a:off x="0" y="0"/>
          <a:ext cx="1914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4</xdr:row>
      <xdr:rowOff>104775</xdr:rowOff>
    </xdr:from>
    <xdr:to>
      <xdr:col>16</xdr:col>
      <xdr:colOff>209550</xdr:colOff>
      <xdr:row>19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752475"/>
          <a:ext cx="41052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71</xdr:row>
      <xdr:rowOff>38100</xdr:rowOff>
    </xdr:from>
    <xdr:to>
      <xdr:col>11</xdr:col>
      <xdr:colOff>0</xdr:colOff>
      <xdr:row>92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9105900"/>
          <a:ext cx="44862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72</xdr:row>
      <xdr:rowOff>114300</xdr:rowOff>
    </xdr:from>
    <xdr:to>
      <xdr:col>17</xdr:col>
      <xdr:colOff>161925</xdr:colOff>
      <xdr:row>91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9344025"/>
          <a:ext cx="42957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142875</xdr:rowOff>
    </xdr:from>
    <xdr:to>
      <xdr:col>10</xdr:col>
      <xdr:colOff>276225</xdr:colOff>
      <xdr:row>211</xdr:row>
      <xdr:rowOff>142875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6146125"/>
          <a:ext cx="717232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279</xdr:row>
      <xdr:rowOff>133350</xdr:rowOff>
    </xdr:from>
    <xdr:to>
      <xdr:col>7</xdr:col>
      <xdr:colOff>257175</xdr:colOff>
      <xdr:row>310</xdr:row>
      <xdr:rowOff>28575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43462575"/>
          <a:ext cx="490537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136</xdr:row>
      <xdr:rowOff>9525</xdr:rowOff>
    </xdr:from>
    <xdr:to>
      <xdr:col>22</xdr:col>
      <xdr:colOff>95250</xdr:colOff>
      <xdr:row>165</xdr:row>
      <xdr:rowOff>9525</xdr:rowOff>
    </xdr:to>
    <xdr:graphicFrame>
      <xdr:nvGraphicFramePr>
        <xdr:cNvPr id="6" name="Gráfico 16"/>
        <xdr:cNvGraphicFramePr/>
      </xdr:nvGraphicFramePr>
      <xdr:xfrm>
        <a:off x="8267700" y="20183475"/>
        <a:ext cx="676275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476250</xdr:colOff>
      <xdr:row>154</xdr:row>
      <xdr:rowOff>66675</xdr:rowOff>
    </xdr:from>
    <xdr:to>
      <xdr:col>13</xdr:col>
      <xdr:colOff>485775</xdr:colOff>
      <xdr:row>161</xdr:row>
      <xdr:rowOff>66675</xdr:rowOff>
    </xdr:to>
    <xdr:sp>
      <xdr:nvSpPr>
        <xdr:cNvPr id="7" name="Line 17"/>
        <xdr:cNvSpPr>
          <a:spLocks/>
        </xdr:cNvSpPr>
      </xdr:nvSpPr>
      <xdr:spPr>
        <a:xfrm flipV="1">
          <a:off x="9544050" y="23155275"/>
          <a:ext cx="95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154</xdr:row>
      <xdr:rowOff>28575</xdr:rowOff>
    </xdr:from>
    <xdr:to>
      <xdr:col>14</xdr:col>
      <xdr:colOff>180975</xdr:colOff>
      <xdr:row>161</xdr:row>
      <xdr:rowOff>28575</xdr:rowOff>
    </xdr:to>
    <xdr:sp>
      <xdr:nvSpPr>
        <xdr:cNvPr id="8" name="Line 19"/>
        <xdr:cNvSpPr>
          <a:spLocks/>
        </xdr:cNvSpPr>
      </xdr:nvSpPr>
      <xdr:spPr>
        <a:xfrm flipV="1">
          <a:off x="10067925" y="23117175"/>
          <a:ext cx="95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152</xdr:row>
      <xdr:rowOff>114300</xdr:rowOff>
    </xdr:from>
    <xdr:to>
      <xdr:col>16</xdr:col>
      <xdr:colOff>504825</xdr:colOff>
      <xdr:row>161</xdr:row>
      <xdr:rowOff>95250</xdr:rowOff>
    </xdr:to>
    <xdr:sp>
      <xdr:nvSpPr>
        <xdr:cNvPr id="9" name="Line 20"/>
        <xdr:cNvSpPr>
          <a:spLocks/>
        </xdr:cNvSpPr>
      </xdr:nvSpPr>
      <xdr:spPr>
        <a:xfrm flipV="1">
          <a:off x="11610975" y="22879050"/>
          <a:ext cx="95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150</xdr:row>
      <xdr:rowOff>85725</xdr:rowOff>
    </xdr:from>
    <xdr:to>
      <xdr:col>19</xdr:col>
      <xdr:colOff>219075</xdr:colOff>
      <xdr:row>161</xdr:row>
      <xdr:rowOff>95250</xdr:rowOff>
    </xdr:to>
    <xdr:sp>
      <xdr:nvSpPr>
        <xdr:cNvPr id="10" name="Line 21"/>
        <xdr:cNvSpPr>
          <a:spLocks/>
        </xdr:cNvSpPr>
      </xdr:nvSpPr>
      <xdr:spPr>
        <a:xfrm flipV="1">
          <a:off x="13154025" y="22526625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152</xdr:row>
      <xdr:rowOff>66675</xdr:rowOff>
    </xdr:from>
    <xdr:to>
      <xdr:col>15</xdr:col>
      <xdr:colOff>85725</xdr:colOff>
      <xdr:row>161</xdr:row>
      <xdr:rowOff>47625</xdr:rowOff>
    </xdr:to>
    <xdr:sp>
      <xdr:nvSpPr>
        <xdr:cNvPr id="11" name="Line 22"/>
        <xdr:cNvSpPr>
          <a:spLocks/>
        </xdr:cNvSpPr>
      </xdr:nvSpPr>
      <xdr:spPr>
        <a:xfrm flipV="1">
          <a:off x="10582275" y="22831425"/>
          <a:ext cx="95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2:R15"/>
  <sheetViews>
    <sheetView showGridLines="0" tabSelected="1" zoomScalePageLayoutView="0" workbookViewId="0" topLeftCell="A1">
      <selection activeCell="H4" sqref="H4:J4"/>
    </sheetView>
  </sheetViews>
  <sheetFormatPr defaultColWidth="9.140625" defaultRowHeight="12.75"/>
  <cols>
    <col min="2" max="2" width="10.28125" style="0" customWidth="1"/>
    <col min="4" max="4" width="10.57421875" style="0" customWidth="1"/>
    <col min="5" max="5" width="5.421875" style="0" customWidth="1"/>
    <col min="6" max="6" width="4.7109375" style="0" customWidth="1"/>
    <col min="7" max="7" width="6.7109375" style="0" customWidth="1"/>
    <col min="10" max="10" width="11.140625" style="0" customWidth="1"/>
    <col min="18" max="18" width="10.57421875" style="0" hidden="1" customWidth="1"/>
    <col min="19" max="19" width="0" style="0" hidden="1" customWidth="1"/>
  </cols>
  <sheetData>
    <row r="2" ht="12.75">
      <c r="B2" s="35" t="s">
        <v>227</v>
      </c>
    </row>
    <row r="3" ht="12.75">
      <c r="B3" s="35" t="s">
        <v>228</v>
      </c>
    </row>
    <row r="4" spans="8:15" ht="12.75">
      <c r="H4" s="104" t="s">
        <v>229</v>
      </c>
      <c r="I4" s="104"/>
      <c r="J4" s="104"/>
      <c r="K4" s="32"/>
      <c r="L4" s="32"/>
      <c r="M4" s="32"/>
      <c r="N4" s="32"/>
      <c r="O4" s="32"/>
    </row>
    <row r="5" spans="8:15" ht="12.75">
      <c r="H5" s="104" t="s">
        <v>230</v>
      </c>
      <c r="I5" s="104"/>
      <c r="J5" s="104"/>
      <c r="K5" s="32"/>
      <c r="L5" s="32"/>
      <c r="M5" s="32"/>
      <c r="N5" s="32"/>
      <c r="O5" s="32"/>
    </row>
    <row r="6" spans="12:15" ht="12.75">
      <c r="L6" s="33"/>
      <c r="M6" s="32"/>
      <c r="N6" s="32"/>
      <c r="O6" s="32"/>
    </row>
    <row r="7" spans="2:15" ht="12.7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 ht="12.7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2:16" ht="48" customHeight="1">
      <c r="B9" s="99" t="s">
        <v>215</v>
      </c>
      <c r="C9" s="100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ht="12.75">
      <c r="R10" t="s">
        <v>216</v>
      </c>
    </row>
    <row r="13" spans="2:11" ht="12.75">
      <c r="B13" s="102" t="s">
        <v>220</v>
      </c>
      <c r="C13" s="102"/>
      <c r="D13" s="102"/>
      <c r="E13" s="102"/>
      <c r="F13" s="102"/>
      <c r="G13" s="34" t="s">
        <v>217</v>
      </c>
      <c r="H13" s="2" t="s">
        <v>218</v>
      </c>
      <c r="I13" s="103" t="s">
        <v>219</v>
      </c>
      <c r="J13" s="103"/>
      <c r="K13" s="103"/>
    </row>
    <row r="14" ht="19.5" customHeight="1">
      <c r="B14" t="s">
        <v>221</v>
      </c>
    </row>
    <row r="15" ht="20.25" customHeight="1">
      <c r="B15" t="s">
        <v>222</v>
      </c>
    </row>
  </sheetData>
  <sheetProtection password="8E6E" sheet="1" objects="1" scenarios="1" selectLockedCells="1"/>
  <mergeCells count="5">
    <mergeCell ref="B9:P9"/>
    <mergeCell ref="B13:F13"/>
    <mergeCell ref="I13:K13"/>
    <mergeCell ref="H4:J4"/>
    <mergeCell ref="H5:J5"/>
  </mergeCells>
  <printOptions/>
  <pageMargins left="0.787401575" right="0.787401575" top="0.984251969" bottom="0.98425196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N64"/>
  <sheetViews>
    <sheetView showGridLines="0" view="pageBreakPreview" zoomScaleNormal="115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9.140625" style="41" customWidth="1"/>
    <col min="2" max="2" width="10.140625" style="41" customWidth="1"/>
    <col min="3" max="3" width="9.140625" style="41" customWidth="1"/>
    <col min="4" max="4" width="14.28125" style="98" bestFit="1" customWidth="1"/>
    <col min="5" max="5" width="9.00390625" style="41" customWidth="1"/>
    <col min="6" max="6" width="17.421875" style="41" customWidth="1"/>
    <col min="7" max="8" width="9.7109375" style="41" customWidth="1"/>
    <col min="9" max="9" width="10.7109375" style="41" customWidth="1"/>
    <col min="10" max="11" width="11.28125" style="41" customWidth="1"/>
    <col min="12" max="12" width="11.140625" style="41" customWidth="1"/>
    <col min="13" max="13" width="25.8515625" style="41" hidden="1" customWidth="1"/>
    <col min="14" max="14" width="9.140625" style="41" hidden="1" customWidth="1"/>
    <col min="15" max="19" width="9.140625" style="41" customWidth="1"/>
    <col min="20" max="20" width="9.8515625" style="41" customWidth="1"/>
    <col min="21" max="21" width="9.140625" style="41" customWidth="1"/>
    <col min="22" max="24" width="9.140625" style="41" hidden="1" customWidth="1"/>
    <col min="25" max="25" width="17.57421875" style="41" customWidth="1"/>
    <col min="26" max="26" width="9.140625" style="41" customWidth="1"/>
    <col min="27" max="27" width="12.421875" style="41" bestFit="1" customWidth="1"/>
    <col min="28" max="31" width="9.140625" style="41" customWidth="1"/>
    <col min="32" max="37" width="0" style="41" hidden="1" customWidth="1"/>
    <col min="38" max="39" width="9.140625" style="41" customWidth="1"/>
    <col min="40" max="40" width="0" style="41" hidden="1" customWidth="1"/>
    <col min="41" max="16384" width="9.140625" style="41" customWidth="1"/>
  </cols>
  <sheetData>
    <row r="1" spans="1:11" ht="24.75" customHeight="1">
      <c r="A1" s="114"/>
      <c r="B1" s="114"/>
      <c r="C1" s="114"/>
      <c r="D1" s="115" t="s">
        <v>21</v>
      </c>
      <c r="E1" s="116"/>
      <c r="F1" s="116"/>
      <c r="G1" s="116"/>
      <c r="H1" s="116"/>
      <c r="I1" s="116"/>
      <c r="J1" s="116"/>
      <c r="K1" s="116"/>
    </row>
    <row r="2" spans="1:11" ht="24.75" customHeight="1">
      <c r="A2" s="114"/>
      <c r="B2" s="114"/>
      <c r="C2" s="114"/>
      <c r="D2" s="116"/>
      <c r="E2" s="116"/>
      <c r="F2" s="116"/>
      <c r="G2" s="116"/>
      <c r="H2" s="116"/>
      <c r="I2" s="116"/>
      <c r="J2" s="116"/>
      <c r="K2" s="116"/>
    </row>
    <row r="3" spans="1:11" ht="22.5" customHeight="1">
      <c r="A3" s="114"/>
      <c r="B3" s="114"/>
      <c r="C3" s="114"/>
      <c r="D3" s="116"/>
      <c r="E3" s="116"/>
      <c r="F3" s="116"/>
      <c r="G3" s="116"/>
      <c r="H3" s="116"/>
      <c r="I3" s="116"/>
      <c r="J3" s="116"/>
      <c r="K3" s="116"/>
    </row>
    <row r="4" spans="1:11" ht="4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3:8" s="43" customFormat="1" ht="18" customHeight="1">
      <c r="C5" s="44" t="s">
        <v>9</v>
      </c>
      <c r="D5" s="4">
        <v>300</v>
      </c>
      <c r="E5" s="45" t="s">
        <v>0</v>
      </c>
      <c r="F5" s="117" t="s">
        <v>18</v>
      </c>
      <c r="G5" s="117"/>
      <c r="H5" s="117"/>
    </row>
    <row r="6" spans="3:6" s="43" customFormat="1" ht="18" customHeight="1">
      <c r="C6" s="44" t="s">
        <v>12</v>
      </c>
      <c r="D6" s="4">
        <v>1.2</v>
      </c>
      <c r="E6" s="45" t="s">
        <v>11</v>
      </c>
      <c r="F6" s="43" t="s">
        <v>13</v>
      </c>
    </row>
    <row r="7" spans="3:6" s="43" customFormat="1" ht="18" customHeight="1">
      <c r="C7" s="44" t="s">
        <v>10</v>
      </c>
      <c r="D7" s="46">
        <f>D5*D6</f>
        <v>360</v>
      </c>
      <c r="E7" s="45" t="s">
        <v>0</v>
      </c>
      <c r="F7" s="43" t="s">
        <v>1</v>
      </c>
    </row>
    <row r="8" spans="3:27" s="43" customFormat="1" ht="18" customHeight="1">
      <c r="C8" s="44" t="s">
        <v>14</v>
      </c>
      <c r="D8" s="5">
        <v>0.3</v>
      </c>
      <c r="E8" s="45" t="s">
        <v>3</v>
      </c>
      <c r="F8" s="43" t="s">
        <v>37</v>
      </c>
      <c r="Y8" s="47" t="s">
        <v>166</v>
      </c>
      <c r="Z8" s="47"/>
      <c r="AA8" s="47"/>
    </row>
    <row r="9" spans="3:29" s="43" customFormat="1" ht="18" customHeight="1">
      <c r="C9" s="44" t="s">
        <v>14</v>
      </c>
      <c r="D9" s="48">
        <f>D13/D14</f>
        <v>0.11811023622047244</v>
      </c>
      <c r="E9" s="45" t="s">
        <v>3</v>
      </c>
      <c r="F9" s="43" t="s">
        <v>38</v>
      </c>
      <c r="Y9" s="49"/>
      <c r="Z9" s="49" t="s">
        <v>169</v>
      </c>
      <c r="AA9" s="49">
        <v>100</v>
      </c>
      <c r="AB9" s="49">
        <v>125</v>
      </c>
      <c r="AC9" s="49">
        <v>150</v>
      </c>
    </row>
    <row r="10" spans="3:29" s="43" customFormat="1" ht="18" customHeight="1">
      <c r="C10" s="44" t="s">
        <v>7</v>
      </c>
      <c r="D10" s="46">
        <f>D7/D8</f>
        <v>1200</v>
      </c>
      <c r="E10" s="45" t="s">
        <v>0</v>
      </c>
      <c r="F10" s="43" t="s">
        <v>19</v>
      </c>
      <c r="Y10" s="119">
        <f>Tabelas!M324</f>
      </c>
      <c r="Z10" s="49">
        <f>Tabelas!N324</f>
      </c>
      <c r="AA10" s="50">
        <f>Tabelas!O324</f>
      </c>
      <c r="AB10" s="50">
        <f>Tabelas!P324</f>
      </c>
      <c r="AC10" s="50">
        <f>Tabelas!Q324</f>
      </c>
    </row>
    <row r="11" spans="3:29" s="43" customFormat="1" ht="18" customHeight="1">
      <c r="C11" s="44" t="s">
        <v>34</v>
      </c>
      <c r="D11" s="13">
        <v>0.5</v>
      </c>
      <c r="E11" s="45" t="s">
        <v>2</v>
      </c>
      <c r="F11" s="43" t="s">
        <v>35</v>
      </c>
      <c r="G11" s="44" t="s">
        <v>48</v>
      </c>
      <c r="H11" s="40" t="s">
        <v>25</v>
      </c>
      <c r="I11" s="43" t="s">
        <v>2</v>
      </c>
      <c r="M11" s="45"/>
      <c r="N11" s="45"/>
      <c r="O11" s="45"/>
      <c r="P11" s="45"/>
      <c r="Q11" s="45"/>
      <c r="Y11" s="119"/>
      <c r="Z11" s="49">
        <f>Tabelas!N325</f>
      </c>
      <c r="AA11" s="50">
        <f>Tabelas!O325</f>
      </c>
      <c r="AB11" s="50">
        <f>Tabelas!P325</f>
      </c>
      <c r="AC11" s="50">
        <f>Tabelas!Q325</f>
      </c>
    </row>
    <row r="12" spans="3:29" s="43" customFormat="1" ht="18" customHeight="1">
      <c r="C12" s="44" t="s">
        <v>8</v>
      </c>
      <c r="D12" s="16">
        <v>3.2</v>
      </c>
      <c r="E12" s="45" t="s">
        <v>4</v>
      </c>
      <c r="F12" s="43" t="s">
        <v>209</v>
      </c>
      <c r="Y12" s="119"/>
      <c r="Z12" s="49">
        <f>Tabelas!N326</f>
      </c>
      <c r="AA12" s="50">
        <f>Tabelas!O326</f>
      </c>
      <c r="AB12" s="50">
        <f>Tabelas!P326</f>
      </c>
      <c r="AC12" s="50">
        <f>Tabelas!Q326</f>
      </c>
    </row>
    <row r="13" spans="3:29" s="43" customFormat="1" ht="18" customHeight="1">
      <c r="C13" s="44" t="s">
        <v>41</v>
      </c>
      <c r="D13" s="51">
        <f>D7/D12</f>
        <v>112.5</v>
      </c>
      <c r="E13" s="45" t="s">
        <v>5</v>
      </c>
      <c r="F13" s="43" t="s">
        <v>20</v>
      </c>
      <c r="Y13" s="119">
        <f>Tabelas!M327</f>
      </c>
      <c r="Z13" s="49">
        <f>Tabelas!N327</f>
      </c>
      <c r="AA13" s="50">
        <f>Tabelas!O327</f>
      </c>
      <c r="AB13" s="50">
        <f>Tabelas!P327</f>
      </c>
      <c r="AC13" s="50">
        <f>Tabelas!Q327</f>
      </c>
    </row>
    <row r="14" spans="3:29" s="43" customFormat="1" ht="18" customHeight="1">
      <c r="C14" s="44" t="s">
        <v>40</v>
      </c>
      <c r="D14" s="51">
        <f>(D10-D7)+D13</f>
        <v>952.5</v>
      </c>
      <c r="E14" s="45" t="s">
        <v>5</v>
      </c>
      <c r="F14" s="43" t="s">
        <v>39</v>
      </c>
      <c r="Y14" s="119"/>
      <c r="Z14" s="49">
        <f>Tabelas!N328</f>
      </c>
      <c r="AA14" s="50">
        <f>Tabelas!O328</f>
      </c>
      <c r="AB14" s="50">
        <f>Tabelas!P328</f>
      </c>
      <c r="AC14" s="50">
        <f>Tabelas!Q328</f>
      </c>
    </row>
    <row r="15" spans="3:29" s="43" customFormat="1" ht="15.75" customHeight="1">
      <c r="C15" s="44" t="s">
        <v>36</v>
      </c>
      <c r="D15" s="13">
        <v>0.3</v>
      </c>
      <c r="E15" s="45" t="s">
        <v>2</v>
      </c>
      <c r="O15" s="43" t="s">
        <v>224</v>
      </c>
      <c r="Y15" s="119"/>
      <c r="Z15" s="49">
        <f>Tabelas!N329</f>
      </c>
      <c r="AA15" s="50">
        <f>Tabelas!O329</f>
      </c>
      <c r="AB15" s="50">
        <f>Tabelas!P329</f>
      </c>
      <c r="AC15" s="50">
        <f>Tabelas!Q329</f>
      </c>
    </row>
    <row r="16" spans="3:29" s="43" customFormat="1" ht="18" customHeight="1">
      <c r="C16" s="44" t="s">
        <v>208</v>
      </c>
      <c r="D16" s="6">
        <v>1</v>
      </c>
      <c r="O16" s="43" t="s">
        <v>223</v>
      </c>
      <c r="Y16" s="119">
        <f>Tabelas!M330</f>
      </c>
      <c r="Z16" s="49">
        <f>Tabelas!N330</f>
      </c>
      <c r="AA16" s="50">
        <f>Tabelas!O330</f>
      </c>
      <c r="AB16" s="50">
        <f>Tabelas!P330</f>
      </c>
      <c r="AC16" s="50">
        <f>Tabelas!Q330</f>
      </c>
    </row>
    <row r="17" spans="3:29" s="43" customFormat="1" ht="38.25">
      <c r="C17" s="117"/>
      <c r="D17" s="117"/>
      <c r="E17" s="117"/>
      <c r="F17" s="117"/>
      <c r="I17" s="52" t="s">
        <v>46</v>
      </c>
      <c r="J17" s="52" t="s">
        <v>45</v>
      </c>
      <c r="K17" s="52" t="s">
        <v>42</v>
      </c>
      <c r="O17" s="53">
        <f>IF(L31=Y10,L31,"")</f>
      </c>
      <c r="Y17" s="119"/>
      <c r="Z17" s="49">
        <f>Tabelas!N331</f>
      </c>
      <c r="AA17" s="50">
        <f>Tabelas!O331</f>
      </c>
      <c r="AB17" s="50">
        <f>Tabelas!P331</f>
      </c>
      <c r="AC17" s="50">
        <f>Tabelas!Q331</f>
      </c>
    </row>
    <row r="18" spans="1:29" s="43" customFormat="1" ht="18" customHeight="1">
      <c r="A18" s="54">
        <f>D7/D16</f>
        <v>360</v>
      </c>
      <c r="B18" s="55">
        <f>D8</f>
        <v>0.3</v>
      </c>
      <c r="C18" s="55">
        <f>D9</f>
        <v>0.11811023622047244</v>
      </c>
      <c r="D18" s="45"/>
      <c r="I18" s="56" t="s">
        <v>43</v>
      </c>
      <c r="J18" s="56" t="s">
        <v>44</v>
      </c>
      <c r="K18" s="56" t="s">
        <v>164</v>
      </c>
      <c r="O18" s="53">
        <f>IF(L32=Y13,L32,"")</f>
      </c>
      <c r="Q18" s="121" t="s">
        <v>225</v>
      </c>
      <c r="R18" s="121"/>
      <c r="S18" s="121"/>
      <c r="T18" s="121"/>
      <c r="Y18" s="119"/>
      <c r="Z18" s="49">
        <f>Tabelas!N332</f>
      </c>
      <c r="AA18" s="50">
        <f>Tabelas!O332</f>
      </c>
      <c r="AB18" s="50">
        <f>Tabelas!P332</f>
      </c>
      <c r="AC18" s="50">
        <f>Tabelas!Q332</f>
      </c>
    </row>
    <row r="19" spans="1:29" s="43" customFormat="1" ht="18" customHeight="1">
      <c r="A19" s="57">
        <f>(D14-D13)/D16</f>
        <v>840</v>
      </c>
      <c r="B19" s="54">
        <f>D14/D16</f>
        <v>952.5</v>
      </c>
      <c r="C19" s="55">
        <v>1</v>
      </c>
      <c r="D19" s="45"/>
      <c r="O19" s="53">
        <f>IF(L33=Y16,L33,"")</f>
      </c>
      <c r="Q19" s="121"/>
      <c r="R19" s="121"/>
      <c r="S19" s="121"/>
      <c r="T19" s="121"/>
      <c r="Y19" s="119" t="str">
        <f>Tabelas!M333</f>
        <v>42"</v>
      </c>
      <c r="Z19" s="49">
        <f>Tabelas!N333</f>
      </c>
      <c r="AA19" s="50">
        <f>Tabelas!O333</f>
      </c>
      <c r="AB19" s="50">
        <f>Tabelas!P333</f>
      </c>
      <c r="AC19" s="50">
        <f>Tabelas!Q333</f>
      </c>
    </row>
    <row r="20" spans="4:29" s="43" customFormat="1" ht="18" customHeight="1">
      <c r="D20" s="45"/>
      <c r="O20" s="53">
        <f>IF(L34=Y19,L34,"")</f>
      </c>
      <c r="Q20" s="121" t="s">
        <v>226</v>
      </c>
      <c r="R20" s="121"/>
      <c r="S20" s="121"/>
      <c r="T20" s="121"/>
      <c r="Y20" s="119"/>
      <c r="Z20" s="49">
        <f>Tabelas!N334</f>
      </c>
      <c r="AA20" s="50">
        <f>Tabelas!O334</f>
      </c>
      <c r="AB20" s="50">
        <f>Tabelas!P334</f>
      </c>
      <c r="AC20" s="50">
        <f>Tabelas!Q334</f>
      </c>
    </row>
    <row r="21" spans="4:29" s="43" customFormat="1" ht="18" customHeight="1">
      <c r="D21" s="45"/>
      <c r="O21" s="53" t="str">
        <f>IF(L35=Y22,L35,"")</f>
        <v>48"</v>
      </c>
      <c r="Q21" s="121"/>
      <c r="R21" s="121"/>
      <c r="S21" s="121"/>
      <c r="T21" s="121"/>
      <c r="Y21" s="119"/>
      <c r="Z21" s="49" t="str">
        <f>Tabelas!N335</f>
        <v>42"-Largo</v>
      </c>
      <c r="AA21" s="50">
        <f>Tabelas!O335</f>
      </c>
      <c r="AB21" s="50">
        <f>Tabelas!P335</f>
      </c>
      <c r="AC21" s="50">
        <f>Tabelas!Q335</f>
        <v>10.070689536000001</v>
      </c>
    </row>
    <row r="22" spans="1:29" s="43" customFormat="1" ht="18" customHeight="1">
      <c r="A22" s="54">
        <f>A18-G22</f>
        <v>252</v>
      </c>
      <c r="B22" s="55">
        <f>A22/(A22+A23)</f>
        <v>0.23863636363636365</v>
      </c>
      <c r="C22" s="58">
        <f>A22/D12/B23</f>
        <v>0.08920985556499575</v>
      </c>
      <c r="D22" s="59" t="s">
        <v>47</v>
      </c>
      <c r="E22" s="60">
        <f>D15</f>
        <v>0.3</v>
      </c>
      <c r="F22" s="14"/>
      <c r="G22" s="61">
        <f>A18*I23</f>
        <v>108</v>
      </c>
      <c r="H22" s="39">
        <v>0.75</v>
      </c>
      <c r="I22" s="55">
        <f>G22/D12/H23</f>
        <v>0.4838709677419355</v>
      </c>
      <c r="J22" s="14"/>
      <c r="K22" s="14"/>
      <c r="O22" s="53" t="str">
        <f>IF(L36=Y25,L36,"")</f>
        <v>54"</v>
      </c>
      <c r="Y22" s="119" t="str">
        <f>Tabelas!M336</f>
        <v>48"</v>
      </c>
      <c r="Z22" s="49">
        <f>Tabelas!N336</f>
      </c>
      <c r="AA22" s="50">
        <f>Tabelas!O336</f>
      </c>
      <c r="AB22" s="50">
        <f>Tabelas!P336</f>
      </c>
      <c r="AC22" s="50">
        <f>Tabelas!Q336</f>
      </c>
    </row>
    <row r="23" spans="1:29" s="43" customFormat="1" ht="18" customHeight="1">
      <c r="A23" s="57">
        <f>A19-G23</f>
        <v>804</v>
      </c>
      <c r="B23" s="54">
        <f>B19-H23</f>
        <v>882.75</v>
      </c>
      <c r="C23" s="55">
        <f>C19-I23</f>
        <v>0.7</v>
      </c>
      <c r="D23" s="46"/>
      <c r="E23" s="62"/>
      <c r="F23" s="14"/>
      <c r="G23" s="57">
        <f>G22/H22*(1-H22)</f>
        <v>36</v>
      </c>
      <c r="H23" s="54">
        <f>G22/D12+G23</f>
        <v>69.75</v>
      </c>
      <c r="I23" s="39">
        <v>0.3</v>
      </c>
      <c r="J23" s="14"/>
      <c r="K23" s="14"/>
      <c r="M23" s="45"/>
      <c r="N23" s="45"/>
      <c r="O23" s="53" t="str">
        <f>IF(L37=Y28,L37,"")</f>
        <v>60"</v>
      </c>
      <c r="P23" s="45"/>
      <c r="Q23" s="45"/>
      <c r="Y23" s="119"/>
      <c r="Z23" s="49" t="str">
        <f>Tabelas!N337</f>
        <v>48"-Medio</v>
      </c>
      <c r="AA23" s="50">
        <f>Tabelas!O337</f>
      </c>
      <c r="AB23" s="50">
        <f>Tabelas!P337</f>
      </c>
      <c r="AC23" s="50">
        <f>Tabelas!Q337</f>
        <v>10.795333248</v>
      </c>
    </row>
    <row r="24" spans="2:40" s="43" customFormat="1" ht="18" customHeight="1">
      <c r="B24" s="14"/>
      <c r="C24" s="59"/>
      <c r="D24" s="46"/>
      <c r="E24" s="113"/>
      <c r="F24" s="113"/>
      <c r="G24" s="113"/>
      <c r="H24" s="113"/>
      <c r="I24" s="14"/>
      <c r="J24" s="63"/>
      <c r="K24" s="14"/>
      <c r="O24" s="53" t="str">
        <f>IF(L38=Y31,L38,"")</f>
        <v>66"</v>
      </c>
      <c r="Y24" s="119"/>
      <c r="Z24" s="49" t="str">
        <f>Tabelas!N338</f>
        <v>48"-Largo</v>
      </c>
      <c r="AA24" s="50">
        <f>Tabelas!O338</f>
      </c>
      <c r="AB24" s="50">
        <f>Tabelas!P338</f>
      </c>
      <c r="AC24" s="50">
        <f>Tabelas!Q338</f>
        <v>13.080748032000002</v>
      </c>
      <c r="AN24" s="43">
        <f>VLOOKUP(D32,Tabelas!A100:J110,10)</f>
        <v>48</v>
      </c>
    </row>
    <row r="25" spans="2:40" s="43" customFormat="1" ht="18" customHeight="1">
      <c r="B25" s="14"/>
      <c r="C25" s="59"/>
      <c r="D25" s="46"/>
      <c r="E25" s="62"/>
      <c r="F25" s="63"/>
      <c r="G25" s="63"/>
      <c r="H25" s="63"/>
      <c r="I25" s="14"/>
      <c r="J25" s="14"/>
      <c r="K25" s="14"/>
      <c r="O25" s="53" t="str">
        <f>IF(L39=Y34,L39,"")</f>
        <v>72"</v>
      </c>
      <c r="Y25" s="119" t="str">
        <f>Tabelas!M339</f>
        <v>54"</v>
      </c>
      <c r="Z25" s="49" t="str">
        <f>Tabelas!N339</f>
        <v>54"-Estreito</v>
      </c>
      <c r="AA25" s="50">
        <f>Tabelas!O339</f>
      </c>
      <c r="AB25" s="50">
        <f>Tabelas!P339</f>
      </c>
      <c r="AC25" s="50">
        <f>Tabelas!Q339</f>
        <v>11.120493888</v>
      </c>
      <c r="AN25" s="43">
        <f>IF(D44=100,2,IF(D44=125,3,4))</f>
        <v>4</v>
      </c>
    </row>
    <row r="26" spans="2:29" s="43" customFormat="1" ht="18" customHeight="1">
      <c r="B26" s="14"/>
      <c r="C26" s="59"/>
      <c r="D26" s="46"/>
      <c r="E26" s="120"/>
      <c r="F26" s="120"/>
      <c r="G26" s="120"/>
      <c r="H26" s="120"/>
      <c r="I26" s="14"/>
      <c r="J26" s="14"/>
      <c r="K26" s="14"/>
      <c r="O26" s="53" t="str">
        <f>IF(L40=Y37,L40,"")</f>
        <v>78"</v>
      </c>
      <c r="Y26" s="119"/>
      <c r="Z26" s="49" t="str">
        <f>Tabelas!N340</f>
        <v>54"-Medio</v>
      </c>
      <c r="AA26" s="50">
        <f>Tabelas!O340</f>
      </c>
      <c r="AB26" s="50">
        <f>Tabelas!P340</f>
        <v>10.024238016000002</v>
      </c>
      <c r="AC26" s="50">
        <f>Tabelas!Q340</f>
        <v>13.628875968</v>
      </c>
    </row>
    <row r="27" spans="2:29" s="43" customFormat="1" ht="18" customHeight="1">
      <c r="B27" s="14"/>
      <c r="C27" s="59" t="s">
        <v>116</v>
      </c>
      <c r="D27" s="46">
        <f>VLOOKUP(H11,Tabelas!C26:E31,2)</f>
        <v>0.35</v>
      </c>
      <c r="E27" s="62" t="s">
        <v>52</v>
      </c>
      <c r="F27" s="59"/>
      <c r="H27" s="59"/>
      <c r="I27" s="14"/>
      <c r="J27" s="14"/>
      <c r="K27" s="14"/>
      <c r="M27" s="47"/>
      <c r="N27" s="47"/>
      <c r="O27" s="53" t="str">
        <f>IF(L41=Y40,L41,"")</f>
        <v>84"</v>
      </c>
      <c r="P27" s="47"/>
      <c r="Q27" s="47"/>
      <c r="R27" s="47"/>
      <c r="S27" s="47"/>
      <c r="T27" s="64"/>
      <c r="U27" s="64"/>
      <c r="V27" s="64"/>
      <c r="W27" s="64"/>
      <c r="X27" s="64"/>
      <c r="Y27" s="119"/>
      <c r="Z27" s="49" t="str">
        <f>Tabelas!N341</f>
        <v>54"-Largo</v>
      </c>
      <c r="AA27" s="50">
        <f>Tabelas!O341</f>
      </c>
      <c r="AB27" s="50">
        <f>Tabelas!P341</f>
        <v>11.789395776000001</v>
      </c>
      <c r="AC27" s="50">
        <f>Tabelas!Q341</f>
        <v>16.527450816</v>
      </c>
    </row>
    <row r="28" spans="2:29" s="43" customFormat="1" ht="17.25" customHeight="1" thickBot="1">
      <c r="B28" s="14"/>
      <c r="C28" s="59" t="s">
        <v>50</v>
      </c>
      <c r="D28" s="65">
        <f>VLOOKUP(H11,Tabelas!C26:E31,3)</f>
        <v>0.71</v>
      </c>
      <c r="E28" s="66"/>
      <c r="F28" s="67"/>
      <c r="G28" s="67"/>
      <c r="H28" s="59"/>
      <c r="I28" s="14"/>
      <c r="J28" s="63"/>
      <c r="K28" s="14"/>
      <c r="L28" s="43" t="s">
        <v>117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119" t="str">
        <f>Tabelas!M342</f>
        <v>60"</v>
      </c>
      <c r="Z28" s="49" t="str">
        <f>Tabelas!N342</f>
        <v>60"-Estreito</v>
      </c>
      <c r="AA28" s="50">
        <f>Tabelas!O342</f>
      </c>
      <c r="AB28" s="50">
        <f>Tabelas!P342</f>
        <v>10.525914432</v>
      </c>
      <c r="AC28" s="50">
        <f>Tabelas!Q342</f>
        <v>13.721779008</v>
      </c>
    </row>
    <row r="29" spans="2:29" s="43" customFormat="1" ht="7.5" customHeight="1">
      <c r="B29" s="14"/>
      <c r="C29" s="59"/>
      <c r="D29" s="46"/>
      <c r="E29" s="66"/>
      <c r="F29" s="67"/>
      <c r="G29" s="67"/>
      <c r="H29" s="62"/>
      <c r="I29" s="14"/>
      <c r="J29" s="14"/>
      <c r="K29" s="14"/>
      <c r="O29" s="105" t="s">
        <v>110</v>
      </c>
      <c r="P29" s="106"/>
      <c r="Q29" s="105" t="s">
        <v>111</v>
      </c>
      <c r="R29" s="106"/>
      <c r="S29" s="105" t="s">
        <v>112</v>
      </c>
      <c r="T29" s="106"/>
      <c r="Y29" s="119"/>
      <c r="Z29" s="49" t="str">
        <f>Tabelas!N343</f>
        <v>60"-Medio</v>
      </c>
      <c r="AA29" s="50">
        <f>Tabelas!O343</f>
      </c>
      <c r="AB29" s="50">
        <f>Tabelas!P343</f>
        <v>12.430426752000002</v>
      </c>
      <c r="AC29" s="50">
        <f>Tabelas!Q343</f>
        <v>16.796869632000003</v>
      </c>
    </row>
    <row r="30" spans="1:29" s="43" customFormat="1" ht="24.75" customHeight="1">
      <c r="A30" s="126" t="s">
        <v>51</v>
      </c>
      <c r="B30" s="121"/>
      <c r="C30" s="121"/>
      <c r="D30" s="68">
        <f>H23/D28</f>
        <v>98.23943661971832</v>
      </c>
      <c r="E30" s="62" t="s">
        <v>5</v>
      </c>
      <c r="F30" s="63"/>
      <c r="G30" s="63"/>
      <c r="H30" s="14"/>
      <c r="I30" s="111" t="s">
        <v>105</v>
      </c>
      <c r="J30" s="112"/>
      <c r="K30" s="112"/>
      <c r="O30" s="69" t="s">
        <v>113</v>
      </c>
      <c r="P30" s="70" t="s">
        <v>114</v>
      </c>
      <c r="Q30" s="69" t="s">
        <v>113</v>
      </c>
      <c r="R30" s="70" t="s">
        <v>114</v>
      </c>
      <c r="S30" s="69" t="s">
        <v>113</v>
      </c>
      <c r="T30" s="70" t="s">
        <v>114</v>
      </c>
      <c r="Y30" s="119"/>
      <c r="Z30" s="49" t="str">
        <f>Tabelas!N344</f>
        <v>60"-Largo</v>
      </c>
      <c r="AA30" s="50">
        <f>Tabelas!O344</f>
      </c>
      <c r="AB30" s="50">
        <f>Tabelas!P344</f>
        <v>14.660099712000003</v>
      </c>
      <c r="AC30" s="50">
        <f>Tabelas!Q344</f>
        <v>20.327185152000002</v>
      </c>
    </row>
    <row r="31" spans="2:29" s="43" customFormat="1" ht="18" customHeight="1">
      <c r="B31" s="14"/>
      <c r="C31" s="59"/>
      <c r="D31" s="46"/>
      <c r="E31" s="113"/>
      <c r="F31" s="113"/>
      <c r="G31" s="63"/>
      <c r="H31" s="14"/>
      <c r="I31" s="109" t="s">
        <v>106</v>
      </c>
      <c r="J31" s="110" t="s">
        <v>107</v>
      </c>
      <c r="K31" s="109" t="s">
        <v>108</v>
      </c>
      <c r="L31" s="49">
        <f>Tabelas!H113</f>
      </c>
      <c r="O31" s="71">
        <f>Tabelas!B158</f>
      </c>
      <c r="P31" s="53">
        <f>Tabelas!C158</f>
      </c>
      <c r="Q31" s="71">
        <f>Tabelas!D158</f>
      </c>
      <c r="R31" s="53">
        <f>Tabelas!E158</f>
      </c>
      <c r="S31" s="71">
        <f>Tabelas!F158</f>
      </c>
      <c r="T31" s="53">
        <f>Tabelas!G158</f>
      </c>
      <c r="U31" s="72">
        <f>Tabelas!B113</f>
        <v>1</v>
      </c>
      <c r="V31" s="72">
        <f>Tabelas!C113</f>
        <v>1</v>
      </c>
      <c r="W31" s="72">
        <f>Tabelas!D113</f>
        <v>1</v>
      </c>
      <c r="X31" s="72">
        <f>Tabelas!F113</f>
        <v>1</v>
      </c>
      <c r="Y31" s="119" t="str">
        <f>Tabelas!M345</f>
        <v>66"</v>
      </c>
      <c r="Z31" s="49" t="str">
        <f>Tabelas!N345</f>
        <v>66"-Estreito</v>
      </c>
      <c r="AA31" s="50">
        <f>Tabelas!O345</f>
      </c>
      <c r="AB31" s="50">
        <f>Tabelas!P345</f>
        <v>12.68126496</v>
      </c>
      <c r="AC31" s="50">
        <f>Tabelas!Q345</f>
        <v>16.508870208</v>
      </c>
    </row>
    <row r="32" spans="2:29" s="43" customFormat="1" ht="33.75" customHeight="1">
      <c r="B32" s="14"/>
      <c r="C32" s="59" t="s">
        <v>98</v>
      </c>
      <c r="D32" s="6" t="s">
        <v>74</v>
      </c>
      <c r="E32" s="63"/>
      <c r="F32" s="59" t="s">
        <v>101</v>
      </c>
      <c r="G32" s="62">
        <f>VLOOKUP(D32,Tabelas!A100:I110,2)</f>
        <v>8.7</v>
      </c>
      <c r="H32" s="14" t="s">
        <v>99</v>
      </c>
      <c r="I32" s="109"/>
      <c r="J32" s="110"/>
      <c r="K32" s="109"/>
      <c r="L32" s="49">
        <f>Tabelas!H114</f>
      </c>
      <c r="M32" s="47"/>
      <c r="N32" s="47"/>
      <c r="O32" s="71">
        <f>Tabelas!B159</f>
      </c>
      <c r="P32" s="53">
        <f>Tabelas!C159</f>
      </c>
      <c r="Q32" s="71">
        <f>Tabelas!D159</f>
      </c>
      <c r="R32" s="53">
        <f>Tabelas!E159</f>
      </c>
      <c r="S32" s="71">
        <f>Tabelas!F159</f>
      </c>
      <c r="T32" s="53">
        <f>Tabelas!G159</f>
      </c>
      <c r="U32" s="72">
        <f>Tabelas!B114</f>
        <v>1</v>
      </c>
      <c r="V32" s="72">
        <f>Tabelas!C114</f>
        <v>1</v>
      </c>
      <c r="W32" s="72">
        <f>Tabelas!D114</f>
        <v>1</v>
      </c>
      <c r="X32" s="72">
        <f>Tabelas!F114</f>
        <v>1</v>
      </c>
      <c r="Y32" s="119"/>
      <c r="Z32" s="49" t="str">
        <f>Tabelas!N346</f>
        <v>66"-Medio</v>
      </c>
      <c r="AA32" s="50">
        <f>Tabelas!O346</f>
        <v>10.488753216000001</v>
      </c>
      <c r="AB32" s="50">
        <f>Tabelas!P346</f>
        <v>15.003840960000002</v>
      </c>
      <c r="AC32" s="50">
        <f>Tabelas!Q346</f>
        <v>20.290023936</v>
      </c>
    </row>
    <row r="33" spans="2:29" s="43" customFormat="1" ht="18" customHeight="1">
      <c r="B33" s="14"/>
      <c r="C33" s="59" t="s">
        <v>104</v>
      </c>
      <c r="D33" s="6">
        <v>3.8</v>
      </c>
      <c r="E33" s="43" t="s">
        <v>102</v>
      </c>
      <c r="F33" s="59" t="s">
        <v>100</v>
      </c>
      <c r="G33" s="45" t="str">
        <f>VLOOKUP(D32,Tabelas!A100:I110,3)</f>
        <v>3.2 a 8.0</v>
      </c>
      <c r="H33" s="14" t="s">
        <v>102</v>
      </c>
      <c r="I33" s="73">
        <f>VLOOKUP(D32,Tabelas!A100:I110,4)</f>
        <v>27.84</v>
      </c>
      <c r="J33" s="73">
        <f>VLOOKUP(D32,Tabelas!A100:I110,6)</f>
        <v>97.43999999999998</v>
      </c>
      <c r="K33" s="73">
        <f>VLOOKUP(D32,Tabelas!A100:I110,8)</f>
        <v>208.79999999999998</v>
      </c>
      <c r="L33" s="49">
        <f>Tabelas!H115</f>
      </c>
      <c r="O33" s="71">
        <f>Tabelas!B160</f>
      </c>
      <c r="P33" s="53">
        <f>Tabelas!C160</f>
      </c>
      <c r="Q33" s="71">
        <f>Tabelas!D160</f>
      </c>
      <c r="R33" s="53">
        <f>Tabelas!E160</f>
      </c>
      <c r="S33" s="71">
        <f>Tabelas!F160</f>
      </c>
      <c r="T33" s="53">
        <f>Tabelas!G160</f>
      </c>
      <c r="U33" s="72">
        <f>Tabelas!B115</f>
        <v>1</v>
      </c>
      <c r="V33" s="72">
        <f>Tabelas!C115</f>
        <v>1</v>
      </c>
      <c r="W33" s="72">
        <f>Tabelas!D115</f>
        <v>1</v>
      </c>
      <c r="X33" s="72">
        <f>Tabelas!F115</f>
        <v>5</v>
      </c>
      <c r="Y33" s="119"/>
      <c r="Z33" s="49" t="str">
        <f>Tabelas!N347</f>
        <v>66"-Largo</v>
      </c>
      <c r="AA33" s="50">
        <f>Tabelas!O347</f>
        <v>11.835847296</v>
      </c>
      <c r="AB33" s="50">
        <f>Tabelas!P347</f>
        <v>17.688738816</v>
      </c>
      <c r="AC33" s="50">
        <f>Tabelas!Q347</f>
        <v>24.675047424000002</v>
      </c>
    </row>
    <row r="34" spans="2:29" s="43" customFormat="1" ht="18" customHeight="1">
      <c r="B34" s="14"/>
      <c r="C34" s="59" t="s">
        <v>103</v>
      </c>
      <c r="D34" s="38">
        <v>3</v>
      </c>
      <c r="E34" s="59"/>
      <c r="F34" s="59"/>
      <c r="G34" s="14"/>
      <c r="H34" s="14"/>
      <c r="I34" s="14"/>
      <c r="J34" s="14"/>
      <c r="K34" s="14"/>
      <c r="L34" s="49">
        <f>Tabelas!H116</f>
      </c>
      <c r="O34" s="71">
        <f>Tabelas!B161</f>
      </c>
      <c r="P34" s="53">
        <f>Tabelas!C161</f>
      </c>
      <c r="Q34" s="71">
        <f>Tabelas!D161</f>
      </c>
      <c r="R34" s="53">
        <f>Tabelas!E161</f>
      </c>
      <c r="S34" s="71">
        <f>Tabelas!F161</f>
      </c>
      <c r="T34" s="53">
        <f>Tabelas!G161</f>
      </c>
      <c r="U34" s="72">
        <f>Tabelas!B116</f>
        <v>1</v>
      </c>
      <c r="V34" s="72">
        <f>Tabelas!C116</f>
        <v>1</v>
      </c>
      <c r="W34" s="72">
        <f>Tabelas!D116</f>
        <v>1</v>
      </c>
      <c r="X34" s="72">
        <f>Tabelas!F116</f>
        <v>5</v>
      </c>
      <c r="Y34" s="119" t="str">
        <f>Tabelas!M348</f>
        <v>72"</v>
      </c>
      <c r="Z34" s="49" t="str">
        <f>Tabelas!N348</f>
        <v>72"-Estreito</v>
      </c>
      <c r="AA34" s="50">
        <f>Tabelas!O348</f>
        <v>10.999719936000002</v>
      </c>
      <c r="AB34" s="50">
        <f>Tabelas!P348</f>
        <v>15.003840960000002</v>
      </c>
      <c r="AC34" s="50">
        <f>Tabelas!Q348</f>
        <v>19.491057792000003</v>
      </c>
    </row>
    <row r="35" spans="2:29" s="43" customFormat="1" ht="18" customHeight="1">
      <c r="B35" s="14"/>
      <c r="C35" s="59"/>
      <c r="D35" s="46"/>
      <c r="E35" s="59"/>
      <c r="F35" s="59"/>
      <c r="G35" s="14"/>
      <c r="H35" s="63"/>
      <c r="I35" s="63"/>
      <c r="J35" s="14"/>
      <c r="K35" s="14"/>
      <c r="L35" s="49" t="str">
        <f>Tabelas!H117</f>
        <v>48"</v>
      </c>
      <c r="M35" s="43" t="e">
        <f>#REF!</f>
        <v>#REF!</v>
      </c>
      <c r="N35" s="43" t="e">
        <f>#REF!</f>
        <v>#REF!</v>
      </c>
      <c r="O35" s="71">
        <f>Tabelas!B162</f>
      </c>
      <c r="P35" s="53">
        <f>Tabelas!C162</f>
      </c>
      <c r="Q35" s="71">
        <f>Tabelas!D162</f>
      </c>
      <c r="R35" s="53">
        <f>Tabelas!E162</f>
      </c>
      <c r="S35" s="71">
        <f>Tabelas!F162</f>
        <v>3.763963088878097</v>
      </c>
      <c r="T35" s="53">
        <f>Tabelas!G162</f>
        <v>0.2401589120932492</v>
      </c>
      <c r="U35" s="72">
        <f>Tabelas!B117</f>
        <v>1</v>
      </c>
      <c r="V35" s="72">
        <f>Tabelas!C117</f>
        <v>1</v>
      </c>
      <c r="W35" s="72">
        <f>Tabelas!D117</f>
        <v>1</v>
      </c>
      <c r="X35" s="72">
        <f>Tabelas!F117</f>
        <v>5</v>
      </c>
      <c r="Y35" s="119"/>
      <c r="Z35" s="49" t="str">
        <f>Tabelas!N349</f>
        <v>72"-Medio</v>
      </c>
      <c r="AA35" s="50">
        <f>Tabelas!O349</f>
        <v>12.393265536000001</v>
      </c>
      <c r="AB35" s="50">
        <f>Tabelas!P349</f>
        <v>17.781641856</v>
      </c>
      <c r="AC35" s="50">
        <f>Tabelas!Q349</f>
        <v>23.959694016</v>
      </c>
    </row>
    <row r="36" spans="2:29" s="43" customFormat="1" ht="18" customHeight="1">
      <c r="B36" s="14"/>
      <c r="C36" s="59" t="s">
        <v>101</v>
      </c>
      <c r="D36" s="46">
        <f>G32*D33*D34</f>
        <v>99.17999999999998</v>
      </c>
      <c r="E36" s="62" t="s">
        <v>5</v>
      </c>
      <c r="F36" s="62"/>
      <c r="G36" s="14"/>
      <c r="H36" s="63"/>
      <c r="I36" s="59"/>
      <c r="J36" s="59"/>
      <c r="K36" s="62"/>
      <c r="L36" s="49" t="str">
        <f>Tabelas!H118</f>
        <v>54"</v>
      </c>
      <c r="M36" s="43" t="s">
        <v>16</v>
      </c>
      <c r="N36" s="43" t="s">
        <v>17</v>
      </c>
      <c r="O36" s="71">
        <f>Tabelas!B163</f>
      </c>
      <c r="P36" s="53">
        <f>Tabelas!C163</f>
      </c>
      <c r="Q36" s="71">
        <f>Tabelas!D163</f>
        <v>4.678068410462777</v>
      </c>
      <c r="R36" s="53">
        <f>Tabelas!E163</f>
        <v>0.33579362173038235</v>
      </c>
      <c r="S36" s="71">
        <f>Tabelas!F163</f>
        <v>3.1187122736418513</v>
      </c>
      <c r="T36" s="53">
        <f>Tabelas!G163</f>
        <v>0.22386241448692154</v>
      </c>
      <c r="U36" s="72">
        <f>Tabelas!B118</f>
        <v>1</v>
      </c>
      <c r="V36" s="72">
        <f>Tabelas!C118</f>
        <v>1</v>
      </c>
      <c r="W36" s="72">
        <f>Tabelas!D118</f>
        <v>1</v>
      </c>
      <c r="X36" s="72">
        <f>Tabelas!F118</f>
        <v>5</v>
      </c>
      <c r="Y36" s="119"/>
      <c r="Z36" s="49" t="str">
        <f>Tabelas!N350</f>
        <v>72"-Largo</v>
      </c>
      <c r="AA36" s="50">
        <f>Tabelas!O350</f>
        <v>14.028359040000002</v>
      </c>
      <c r="AB36" s="50">
        <f>Tabelas!P350</f>
        <v>20.921764608</v>
      </c>
      <c r="AC36" s="50">
        <f>Tabelas!Q350</f>
        <v>29.097232128</v>
      </c>
    </row>
    <row r="37" spans="2:29" s="43" customFormat="1" ht="18" customHeight="1">
      <c r="B37" s="14"/>
      <c r="C37" s="59" t="s">
        <v>49</v>
      </c>
      <c r="D37" s="46">
        <f>3.14*(AN24*2.54/100)*D33/60</f>
        <v>0.24245824</v>
      </c>
      <c r="E37" s="62" t="s">
        <v>52</v>
      </c>
      <c r="F37" s="14"/>
      <c r="G37" s="14"/>
      <c r="H37" s="14"/>
      <c r="I37" s="14"/>
      <c r="J37" s="14"/>
      <c r="K37" s="14"/>
      <c r="L37" s="49" t="str">
        <f>Tabelas!H119</f>
        <v>60"</v>
      </c>
      <c r="M37" s="74" t="e">
        <f>IF($G$36=$M$35,"Circular",70)</f>
        <v>#REF!</v>
      </c>
      <c r="O37" s="71">
        <f>Tabelas!B164</f>
      </c>
      <c r="P37" s="53">
        <f>Tabelas!C164</f>
      </c>
      <c r="Q37" s="71">
        <f>Tabelas!D164</f>
        <v>2.839290075714402</v>
      </c>
      <c r="R37" s="53">
        <f>Tabelas!E164</f>
        <v>0.22645041927867784</v>
      </c>
      <c r="S37" s="71">
        <f>Tabelas!F164</f>
        <v>2.6</v>
      </c>
      <c r="T37" s="53">
        <f>Tabelas!G164</f>
        <v>0.2073656</v>
      </c>
      <c r="U37" s="72">
        <f>Tabelas!B119</f>
        <v>1</v>
      </c>
      <c r="V37" s="72">
        <f>Tabelas!C119</f>
        <v>1</v>
      </c>
      <c r="W37" s="72">
        <f>Tabelas!D119</f>
        <v>0</v>
      </c>
      <c r="X37" s="72">
        <f>Tabelas!F119</f>
        <v>5</v>
      </c>
      <c r="Y37" s="119" t="str">
        <f>Tabelas!M351</f>
        <v>78"</v>
      </c>
      <c r="Z37" s="49" t="str">
        <f>Tabelas!N351</f>
        <v>78"-Estreito</v>
      </c>
      <c r="AA37" s="50">
        <f>Tabelas!O351</f>
        <v>12.86707104</v>
      </c>
      <c r="AB37" s="50">
        <f>Tabelas!P351</f>
        <v>17.502932736</v>
      </c>
      <c r="AC37" s="50">
        <f>Tabelas!Q351</f>
        <v>22.779825408</v>
      </c>
    </row>
    <row r="38" spans="2:29" s="43" customFormat="1" ht="16.5" customHeight="1">
      <c r="B38" s="14"/>
      <c r="C38" s="59"/>
      <c r="D38" s="46"/>
      <c r="E38" s="62"/>
      <c r="F38" s="14"/>
      <c r="G38" s="14"/>
      <c r="H38" s="14"/>
      <c r="I38" s="14"/>
      <c r="J38" s="14"/>
      <c r="K38" s="14"/>
      <c r="L38" s="49" t="str">
        <f>Tabelas!H120</f>
        <v>66"</v>
      </c>
      <c r="M38" s="74" t="e">
        <f>IF($G$36=$M$35,"Linear",60)</f>
        <v>#REF!</v>
      </c>
      <c r="O38" s="71">
        <f>Tabelas!B165</f>
      </c>
      <c r="P38" s="53">
        <f>Tabelas!C165</f>
      </c>
      <c r="Q38" s="71">
        <f>Tabelas!D165</f>
        <v>2.4196905571359193</v>
      </c>
      <c r="R38" s="53">
        <f>Tabelas!E165</f>
        <v>0.21228332408242565</v>
      </c>
      <c r="S38" s="71">
        <f>Tabelas!F165</f>
        <v>2.3</v>
      </c>
      <c r="T38" s="53">
        <f>Tabelas!G165</f>
        <v>0.20178268000000002</v>
      </c>
      <c r="U38" s="72">
        <f>Tabelas!B120</f>
        <v>1</v>
      </c>
      <c r="V38" s="72">
        <f>Tabelas!C120</f>
        <v>1</v>
      </c>
      <c r="W38" s="72">
        <f>Tabelas!D120</f>
        <v>0</v>
      </c>
      <c r="X38" s="72">
        <f>Tabelas!F120</f>
        <v>5</v>
      </c>
      <c r="Y38" s="119"/>
      <c r="Z38" s="49" t="str">
        <f>Tabelas!N352</f>
        <v>78"-Medio</v>
      </c>
      <c r="AA38" s="50">
        <f>Tabelas!O352</f>
        <v>14.520745152000002</v>
      </c>
      <c r="AB38" s="50">
        <f>Tabelas!P352</f>
        <v>20.838151872</v>
      </c>
      <c r="AC38" s="50">
        <f>Tabelas!Q352</f>
        <v>28.075298688</v>
      </c>
    </row>
    <row r="39" spans="1:29" s="43" customFormat="1" ht="15.75" customHeight="1">
      <c r="A39" s="75"/>
      <c r="B39" s="76"/>
      <c r="C39" s="76"/>
      <c r="D39" s="77"/>
      <c r="E39" s="78"/>
      <c r="F39" s="75"/>
      <c r="G39" s="75"/>
      <c r="H39" s="75"/>
      <c r="I39" s="75"/>
      <c r="J39" s="75"/>
      <c r="K39" s="75"/>
      <c r="L39" s="49" t="str">
        <f>Tabelas!H121</f>
        <v>72"</v>
      </c>
      <c r="M39" s="74" t="e">
        <f>IF($G$36=$M$35,"",50)</f>
        <v>#REF!</v>
      </c>
      <c r="O39" s="71">
        <f>Tabelas!B166</f>
        <v>3.5337926841625293</v>
      </c>
      <c r="P39" s="53">
        <f>Tabelas!C166</f>
        <v>0.33820940318168</v>
      </c>
      <c r="Q39" s="71">
        <f>Tabelas!D166</f>
        <v>2.1</v>
      </c>
      <c r="R39" s="53">
        <f>Tabelas!E166</f>
        <v>0.20098512</v>
      </c>
      <c r="S39" s="71">
        <f>Tabelas!F166</f>
        <v>2.1</v>
      </c>
      <c r="T39" s="53">
        <f>Tabelas!G166</f>
        <v>0.20098512</v>
      </c>
      <c r="U39" s="72">
        <f>Tabelas!B121</f>
        <v>1</v>
      </c>
      <c r="V39" s="72">
        <f>Tabelas!C121</f>
        <v>0</v>
      </c>
      <c r="W39" s="72">
        <f>Tabelas!D121</f>
        <v>0</v>
      </c>
      <c r="X39" s="72">
        <f>Tabelas!F121</f>
        <v>5</v>
      </c>
      <c r="Y39" s="119"/>
      <c r="Z39" s="49" t="str">
        <f>Tabelas!N353</f>
        <v>78"-Largo</v>
      </c>
      <c r="AA39" s="50">
        <f>Tabelas!O353</f>
        <v>16.434547776000002</v>
      </c>
      <c r="AB39" s="50">
        <f>Tabelas!P353</f>
        <v>24.582144384000003</v>
      </c>
      <c r="AC39" s="50">
        <f>Tabelas!Q353</f>
        <v>34.169738112000005</v>
      </c>
    </row>
    <row r="40" spans="1:29" s="43" customFormat="1" ht="18" customHeight="1">
      <c r="A40" s="124" t="s">
        <v>109</v>
      </c>
      <c r="B40" s="125"/>
      <c r="C40" s="125"/>
      <c r="D40" s="79">
        <f>D15*((D12-1)/1.65)^0.5</f>
        <v>0.3464101615137755</v>
      </c>
      <c r="E40" s="78" t="s">
        <v>2</v>
      </c>
      <c r="F40" s="76"/>
      <c r="G40" s="78"/>
      <c r="H40" s="76"/>
      <c r="I40" s="76"/>
      <c r="J40" s="77"/>
      <c r="K40" s="75"/>
      <c r="L40" s="49" t="str">
        <f>Tabelas!H122</f>
        <v>78"</v>
      </c>
      <c r="M40" s="74" t="e">
        <f>IF($G$36=$M$35,"",40)</f>
        <v>#REF!</v>
      </c>
      <c r="O40" s="71">
        <f>Tabelas!B167</f>
        <v>3.1187122736418513</v>
      </c>
      <c r="P40" s="53">
        <f>Tabelas!C167</f>
        <v>0.32335682092555335</v>
      </c>
      <c r="Q40" s="71">
        <f>Tabelas!D167</f>
        <v>2</v>
      </c>
      <c r="R40" s="53">
        <f>Tabelas!E167</f>
        <v>0.2073656</v>
      </c>
      <c r="S40" s="71">
        <f>Tabelas!F167</f>
        <v>2</v>
      </c>
      <c r="T40" s="53">
        <f>Tabelas!G167</f>
        <v>0.2073656</v>
      </c>
      <c r="U40" s="72">
        <f>Tabelas!B122</f>
        <v>1</v>
      </c>
      <c r="V40" s="72">
        <f>Tabelas!C122</f>
        <v>0</v>
      </c>
      <c r="W40" s="72">
        <f>Tabelas!D122</f>
        <v>0</v>
      </c>
      <c r="X40" s="72">
        <f>Tabelas!F122</f>
        <v>5</v>
      </c>
      <c r="Y40" s="119" t="str">
        <f>Tabelas!M354</f>
        <v>84"</v>
      </c>
      <c r="Z40" s="49" t="str">
        <f>Tabelas!N354</f>
        <v>84"-Estreito</v>
      </c>
      <c r="AA40" s="50">
        <f>Tabelas!O354</f>
        <v>14.892357312000001</v>
      </c>
      <c r="AB40" s="50">
        <f>Tabelas!P354</f>
        <v>20.215701504000002</v>
      </c>
      <c r="AC40" s="50">
        <f>Tabelas!Q354</f>
        <v>26.328721536</v>
      </c>
    </row>
    <row r="41" spans="1:29" s="43" customFormat="1" ht="20.25" customHeight="1">
      <c r="A41" s="75"/>
      <c r="B41" s="78"/>
      <c r="C41" s="76" t="s">
        <v>123</v>
      </c>
      <c r="D41" s="80">
        <f>Tabelas!W287</f>
        <v>126.12431401166073</v>
      </c>
      <c r="E41" s="78" t="s">
        <v>124</v>
      </c>
      <c r="F41" s="107" t="s">
        <v>212</v>
      </c>
      <c r="G41" s="108"/>
      <c r="H41" s="108"/>
      <c r="I41" s="81">
        <f>B23/(0.7*D41)</f>
        <v>9.998638553188382</v>
      </c>
      <c r="J41" s="75" t="s">
        <v>6</v>
      </c>
      <c r="K41" s="75"/>
      <c r="L41" s="49" t="str">
        <f>Tabelas!H123</f>
        <v>84"</v>
      </c>
      <c r="M41" s="74" t="e">
        <f>IF($G$36=$M$35,"",30)</f>
        <v>#REF!</v>
      </c>
      <c r="O41" s="71">
        <f>Tabelas!B168</f>
        <v>2.619718309859155</v>
      </c>
      <c r="P41" s="53">
        <f>Tabelas!C168</f>
        <v>0.2925135549295775</v>
      </c>
      <c r="Q41" s="71">
        <f>Tabelas!D168</f>
        <v>1.8</v>
      </c>
      <c r="R41" s="53">
        <f>Tabelas!E168</f>
        <v>0.20098512</v>
      </c>
      <c r="S41" s="71">
        <f>Tabelas!F168</f>
        <v>1.8</v>
      </c>
      <c r="T41" s="53">
        <f>Tabelas!G168</f>
        <v>0.20098512</v>
      </c>
      <c r="U41" s="72">
        <f>Tabelas!B123</f>
        <v>1</v>
      </c>
      <c r="V41" s="72">
        <f>Tabelas!C123</f>
        <v>0</v>
      </c>
      <c r="W41" s="72">
        <f>Tabelas!D123</f>
        <v>0</v>
      </c>
      <c r="X41" s="72">
        <f>Tabelas!F123</f>
        <v>5</v>
      </c>
      <c r="Y41" s="119"/>
      <c r="Z41" s="49" t="str">
        <f>Tabelas!N355</f>
        <v>84"-Medio</v>
      </c>
      <c r="AA41" s="50">
        <f>Tabelas!O355</f>
        <v>16.852611456</v>
      </c>
      <c r="AB41" s="50">
        <f>Tabelas!P355</f>
        <v>24.06188736</v>
      </c>
      <c r="AC41" s="50">
        <f>Tabelas!Q355</f>
        <v>32.525354304000004</v>
      </c>
    </row>
    <row r="42" spans="1:29" s="43" customFormat="1" ht="18" customHeight="1">
      <c r="A42" s="76"/>
      <c r="B42" s="76"/>
      <c r="C42" s="76" t="s">
        <v>125</v>
      </c>
      <c r="D42" s="80">
        <f>Tabelas!AJ287</f>
        <v>26.199931560103533</v>
      </c>
      <c r="E42" s="78" t="s">
        <v>124</v>
      </c>
      <c r="F42" s="107" t="s">
        <v>213</v>
      </c>
      <c r="G42" s="108"/>
      <c r="H42" s="108"/>
      <c r="I42" s="81">
        <f>(G22/(D12*0.4))/(0.8*0.7*D42)</f>
        <v>5.750764749575836</v>
      </c>
      <c r="J42" s="75" t="s">
        <v>6</v>
      </c>
      <c r="K42" s="75"/>
      <c r="L42" s="41"/>
      <c r="Y42" s="119"/>
      <c r="Z42" s="49" t="str">
        <f>Tabelas!N356</f>
        <v>84"-Largo</v>
      </c>
      <c r="AA42" s="50">
        <f>Tabelas!O356</f>
        <v>19.09157472</v>
      </c>
      <c r="AB42" s="50">
        <f>Tabelas!P356</f>
        <v>28.493362368</v>
      </c>
      <c r="AC42" s="50">
        <f>Tabelas!Q356</f>
        <v>39.632436864000006</v>
      </c>
    </row>
    <row r="43" spans="1:13" s="43" customFormat="1" ht="18" customHeight="1">
      <c r="A43" s="76"/>
      <c r="B43" s="76"/>
      <c r="C43" s="76"/>
      <c r="D43" s="77"/>
      <c r="E43" s="78"/>
      <c r="F43" s="75"/>
      <c r="G43" s="75"/>
      <c r="H43" s="75"/>
      <c r="I43" s="75"/>
      <c r="J43" s="75"/>
      <c r="K43" s="75"/>
      <c r="L43" s="41"/>
      <c r="M43" s="43" t="s">
        <v>15</v>
      </c>
    </row>
    <row r="44" spans="1:13" s="43" customFormat="1" ht="18" customHeight="1">
      <c r="A44" s="76"/>
      <c r="B44" s="76"/>
      <c r="C44" s="76" t="s">
        <v>167</v>
      </c>
      <c r="D44" s="36">
        <v>150</v>
      </c>
      <c r="E44" s="78"/>
      <c r="G44" s="75"/>
      <c r="H44" s="76" t="s">
        <v>214</v>
      </c>
      <c r="I44" s="81">
        <f>VLOOKUP(D45,Z10:AC42,AN25,0)</f>
        <v>10.795333248</v>
      </c>
      <c r="J44" s="75" t="s">
        <v>6</v>
      </c>
      <c r="K44" s="75"/>
      <c r="L44" s="41"/>
      <c r="M44" s="43">
        <v>1</v>
      </c>
    </row>
    <row r="45" spans="1:12" s="43" customFormat="1" ht="13.5" customHeight="1">
      <c r="A45" s="75"/>
      <c r="B45" s="75"/>
      <c r="C45" s="76" t="s">
        <v>168</v>
      </c>
      <c r="D45" s="37" t="s">
        <v>186</v>
      </c>
      <c r="E45" s="78"/>
      <c r="F45" s="75"/>
      <c r="G45" s="75"/>
      <c r="H45" s="75"/>
      <c r="I45" s="75"/>
      <c r="J45" s="75"/>
      <c r="K45" s="75"/>
      <c r="L45" s="41"/>
    </row>
    <row r="46" spans="1:12" s="43" customFormat="1" ht="18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41"/>
    </row>
    <row r="47" spans="1:11" s="43" customFormat="1" ht="18" customHeight="1" thickBot="1">
      <c r="A47" s="75"/>
      <c r="B47" s="75"/>
      <c r="C47" s="75"/>
      <c r="D47" s="78"/>
      <c r="E47" s="75"/>
      <c r="F47" s="75"/>
      <c r="G47" s="75"/>
      <c r="H47" s="75"/>
      <c r="I47" s="75"/>
      <c r="J47" s="75"/>
      <c r="K47" s="75"/>
    </row>
    <row r="48" spans="1:11" s="43" customFormat="1" ht="18" customHeight="1">
      <c r="A48" s="122" t="s">
        <v>170</v>
      </c>
      <c r="B48" s="123"/>
      <c r="C48" s="123"/>
      <c r="D48" s="82"/>
      <c r="E48" s="83" t="s">
        <v>171</v>
      </c>
      <c r="F48" s="84">
        <f>D44</f>
        <v>150</v>
      </c>
      <c r="G48" s="82"/>
      <c r="H48" s="82"/>
      <c r="I48" s="82"/>
      <c r="J48" s="82"/>
      <c r="K48" s="85"/>
    </row>
    <row r="49" spans="1:11" s="43" customFormat="1" ht="18" customHeight="1">
      <c r="A49" s="86"/>
      <c r="B49" s="75"/>
      <c r="C49" s="75"/>
      <c r="D49" s="87"/>
      <c r="E49" s="76" t="s">
        <v>172</v>
      </c>
      <c r="F49" s="78" t="str">
        <f>D45</f>
        <v>48"-Medio</v>
      </c>
      <c r="G49" s="75"/>
      <c r="H49" s="75"/>
      <c r="I49" s="75"/>
      <c r="J49" s="75"/>
      <c r="K49" s="88"/>
    </row>
    <row r="50" spans="1:11" s="43" customFormat="1" ht="18" customHeight="1" thickBot="1">
      <c r="A50" s="89"/>
      <c r="B50" s="90"/>
      <c r="C50" s="91"/>
      <c r="D50" s="118" t="s">
        <v>207</v>
      </c>
      <c r="E50" s="118"/>
      <c r="F50" s="92">
        <f>D16</f>
        <v>1</v>
      </c>
      <c r="G50" s="93"/>
      <c r="H50" s="94"/>
      <c r="I50" s="90"/>
      <c r="J50" s="90"/>
      <c r="K50" s="95"/>
    </row>
    <row r="51" spans="1:11" s="43" customFormat="1" ht="18" customHeight="1">
      <c r="A51" s="87"/>
      <c r="B51" s="75"/>
      <c r="C51" s="76"/>
      <c r="D51" s="96"/>
      <c r="E51" s="97"/>
      <c r="F51" s="97"/>
      <c r="G51" s="78"/>
      <c r="H51" s="78"/>
      <c r="I51" s="75"/>
      <c r="J51" s="75"/>
      <c r="K51" s="75"/>
    </row>
    <row r="52" spans="2:11" s="43" customFormat="1" ht="18" customHeight="1">
      <c r="B52" s="75"/>
      <c r="C52" s="76"/>
      <c r="D52" s="78"/>
      <c r="E52" s="78"/>
      <c r="F52" s="76"/>
      <c r="G52" s="78"/>
      <c r="H52" s="78"/>
      <c r="I52" s="75"/>
      <c r="J52" s="75"/>
      <c r="K52" s="75"/>
    </row>
    <row r="53" spans="2:11" s="43" customFormat="1" ht="18" customHeight="1">
      <c r="B53" s="75"/>
      <c r="C53" s="76"/>
      <c r="D53" s="77"/>
      <c r="E53" s="78"/>
      <c r="F53" s="76"/>
      <c r="G53" s="77"/>
      <c r="H53" s="78"/>
      <c r="I53" s="75"/>
      <c r="J53" s="75"/>
      <c r="K53" s="75"/>
    </row>
    <row r="54" spans="2:11" s="43" customFormat="1" ht="18" customHeight="1">
      <c r="B54" s="75"/>
      <c r="C54" s="76"/>
      <c r="D54" s="78"/>
      <c r="E54" s="78"/>
      <c r="F54" s="76"/>
      <c r="G54" s="77"/>
      <c r="H54" s="78"/>
      <c r="I54" s="75"/>
      <c r="J54" s="75"/>
      <c r="K54" s="75"/>
    </row>
    <row r="55" ht="12.75">
      <c r="AE55" s="43"/>
    </row>
    <row r="56" spans="8:31" ht="12.75">
      <c r="H56" s="51"/>
      <c r="AE56" s="43"/>
    </row>
    <row r="57" ht="12.75">
      <c r="AE57" s="43"/>
    </row>
    <row r="58" ht="12.75">
      <c r="AE58" s="43"/>
    </row>
    <row r="59" ht="12.75">
      <c r="AE59" s="43"/>
    </row>
    <row r="60" ht="12.75">
      <c r="AE60" s="43"/>
    </row>
    <row r="61" ht="12.75">
      <c r="AE61" s="43"/>
    </row>
    <row r="62" ht="12.75">
      <c r="AE62" s="43"/>
    </row>
    <row r="63" ht="12.75">
      <c r="AE63" s="43"/>
    </row>
    <row r="64" spans="26:31" ht="12.75">
      <c r="Z64" s="43"/>
      <c r="AA64" s="43"/>
      <c r="AB64" s="43"/>
      <c r="AC64" s="43"/>
      <c r="AD64" s="43"/>
      <c r="AE64" s="43"/>
    </row>
  </sheetData>
  <sheetProtection password="8E6E" sheet="1" objects="1" scenarios="1" selectLockedCells="1"/>
  <mergeCells count="33">
    <mergeCell ref="Q20:T21"/>
    <mergeCell ref="A48:C48"/>
    <mergeCell ref="Y31:Y33"/>
    <mergeCell ref="Y34:Y36"/>
    <mergeCell ref="Y37:Y39"/>
    <mergeCell ref="A40:C40"/>
    <mergeCell ref="Y19:Y21"/>
    <mergeCell ref="F42:H42"/>
    <mergeCell ref="A30:C30"/>
    <mergeCell ref="Y40:Y42"/>
    <mergeCell ref="Y22:Y24"/>
    <mergeCell ref="Y25:Y27"/>
    <mergeCell ref="Y28:Y30"/>
    <mergeCell ref="Y10:Y12"/>
    <mergeCell ref="E24:H24"/>
    <mergeCell ref="E26:H26"/>
    <mergeCell ref="Y13:Y15"/>
    <mergeCell ref="Y16:Y18"/>
    <mergeCell ref="Q18:T19"/>
    <mergeCell ref="A1:C3"/>
    <mergeCell ref="D1:K3"/>
    <mergeCell ref="I31:I32"/>
    <mergeCell ref="C17:F17"/>
    <mergeCell ref="F5:H5"/>
    <mergeCell ref="D50:E50"/>
    <mergeCell ref="S29:T29"/>
    <mergeCell ref="F41:H41"/>
    <mergeCell ref="K31:K32"/>
    <mergeCell ref="J31:J32"/>
    <mergeCell ref="I30:K30"/>
    <mergeCell ref="E31:F31"/>
    <mergeCell ref="O29:P29"/>
    <mergeCell ref="Q29:R29"/>
  </mergeCells>
  <conditionalFormatting sqref="Q31:Q41">
    <cfRule type="expression" priority="1" dxfId="0" stopIfTrue="1">
      <formula>V31=0</formula>
    </cfRule>
  </conditionalFormatting>
  <conditionalFormatting sqref="R31:S41">
    <cfRule type="expression" priority="2" dxfId="0" stopIfTrue="1">
      <formula>V31=0</formula>
    </cfRule>
  </conditionalFormatting>
  <conditionalFormatting sqref="T31:T41">
    <cfRule type="expression" priority="3" dxfId="0" stopIfTrue="1">
      <formula>W31=0</formula>
    </cfRule>
  </conditionalFormatting>
  <conditionalFormatting sqref="O17">
    <cfRule type="expression" priority="4" dxfId="0" stopIfTrue="1">
      <formula>$X$31=4</formula>
    </cfRule>
  </conditionalFormatting>
  <conditionalFormatting sqref="O27">
    <cfRule type="expression" priority="5" dxfId="0" stopIfTrue="1">
      <formula>$X$41=4</formula>
    </cfRule>
  </conditionalFormatting>
  <conditionalFormatting sqref="O26">
    <cfRule type="expression" priority="6" dxfId="1" stopIfTrue="1">
      <formula>$X$40=4</formula>
    </cfRule>
  </conditionalFormatting>
  <conditionalFormatting sqref="O25">
    <cfRule type="expression" priority="7" dxfId="1" stopIfTrue="1">
      <formula>$X$39=4</formula>
    </cfRule>
  </conditionalFormatting>
  <conditionalFormatting sqref="O24">
    <cfRule type="expression" priority="8" dxfId="1" stopIfTrue="1">
      <formula>$X$38=4</formula>
    </cfRule>
  </conditionalFormatting>
  <conditionalFormatting sqref="O23">
    <cfRule type="expression" priority="9" dxfId="1" stopIfTrue="1">
      <formula>$X$37=4</formula>
    </cfRule>
  </conditionalFormatting>
  <conditionalFormatting sqref="O22">
    <cfRule type="expression" priority="10" dxfId="1" stopIfTrue="1">
      <formula>$X$36=4</formula>
    </cfRule>
  </conditionalFormatting>
  <conditionalFormatting sqref="O21">
    <cfRule type="expression" priority="11" dxfId="1" stopIfTrue="1">
      <formula>$X$35=4</formula>
    </cfRule>
  </conditionalFormatting>
  <conditionalFormatting sqref="O20">
    <cfRule type="expression" priority="12" dxfId="1" stopIfTrue="1">
      <formula>$X$34=4</formula>
    </cfRule>
  </conditionalFormatting>
  <conditionalFormatting sqref="O19">
    <cfRule type="expression" priority="13" dxfId="0" stopIfTrue="1">
      <formula>$X$33=4</formula>
    </cfRule>
  </conditionalFormatting>
  <conditionalFormatting sqref="O18">
    <cfRule type="expression" priority="14" dxfId="0" stopIfTrue="1">
      <formula>$X$32=4</formula>
    </cfRule>
  </conditionalFormatting>
  <conditionalFormatting sqref="O35:P35">
    <cfRule type="expression" priority="15" dxfId="0" stopIfTrue="1">
      <formula>$U$35=0</formula>
    </cfRule>
  </conditionalFormatting>
  <conditionalFormatting sqref="O34:P34">
    <cfRule type="expression" priority="16" dxfId="0" stopIfTrue="1">
      <formula>$U$34=0</formula>
    </cfRule>
  </conditionalFormatting>
  <conditionalFormatting sqref="O33:P33">
    <cfRule type="expression" priority="17" dxfId="0" stopIfTrue="1">
      <formula>$U$33=0</formula>
    </cfRule>
  </conditionalFormatting>
  <conditionalFormatting sqref="O32:P32">
    <cfRule type="expression" priority="18" dxfId="0" stopIfTrue="1">
      <formula>$U$32=0</formula>
    </cfRule>
  </conditionalFormatting>
  <conditionalFormatting sqref="O31:P31">
    <cfRule type="expression" priority="19" dxfId="0" stopIfTrue="1">
      <formula>$U$31=0</formula>
    </cfRule>
  </conditionalFormatting>
  <conditionalFormatting sqref="O36:P36">
    <cfRule type="expression" priority="20" dxfId="1" stopIfTrue="1">
      <formula>$U$36=0</formula>
    </cfRule>
  </conditionalFormatting>
  <conditionalFormatting sqref="O37:P37">
    <cfRule type="expression" priority="21" dxfId="1" stopIfTrue="1">
      <formula>$U$37=0</formula>
    </cfRule>
  </conditionalFormatting>
  <conditionalFormatting sqref="O38:P38">
    <cfRule type="expression" priority="22" dxfId="1" stopIfTrue="1">
      <formula>$U$38=0</formula>
    </cfRule>
  </conditionalFormatting>
  <conditionalFormatting sqref="O39:P39">
    <cfRule type="expression" priority="23" dxfId="1" stopIfTrue="1">
      <formula>$U$39=0</formula>
    </cfRule>
  </conditionalFormatting>
  <conditionalFormatting sqref="O40:P40">
    <cfRule type="expression" priority="24" dxfId="1" stopIfTrue="1">
      <formula>$U$40=0</formula>
    </cfRule>
  </conditionalFormatting>
  <conditionalFormatting sqref="O41:P41">
    <cfRule type="expression" priority="25" dxfId="0" stopIfTrue="1">
      <formula>$U$41=0</formula>
    </cfRule>
  </conditionalFormatting>
  <dataValidations count="9">
    <dataValidation type="list" allowBlank="1" showInputMessage="1" showErrorMessage="1" sqref="D39">
      <formula1>peneirapadrao</formula1>
    </dataValidation>
    <dataValidation type="list" allowBlank="1" showInputMessage="1" showErrorMessage="1" sqref="D44">
      <formula1>modelo</formula1>
    </dataValidation>
    <dataValidation type="list" allowBlank="1" showInputMessage="1" showErrorMessage="1" sqref="D45">
      <formula1>tanque</formula1>
    </dataValidation>
    <dataValidation type="list" allowBlank="1" showInputMessage="1" showErrorMessage="1" sqref="D32">
      <formula1>diametro</formula1>
    </dataValidation>
    <dataValidation type="list" allowBlank="1" showInputMessage="1" showErrorMessage="1" sqref="G31">
      <formula1>decks</formula1>
    </dataValidation>
    <dataValidation type="list" allowBlank="1" showInputMessage="1" showErrorMessage="1" sqref="H36">
      <formula1>$M$35:$N$35</formula1>
    </dataValidation>
    <dataValidation type="list" allowBlank="1" showInputMessage="1" showErrorMessage="1" sqref="K36">
      <formula1>$M$37:$M$41</formula1>
    </dataValidation>
    <dataValidation type="list" allowBlank="1" showInputMessage="1" showErrorMessage="1" sqref="H11">
      <formula1>faixa</formula1>
    </dataValidation>
    <dataValidation type="list" allowBlank="1" showInputMessage="1" showErrorMessage="1" sqref="D34">
      <formula1>Passos</formula1>
    </dataValidation>
  </dataValidations>
  <printOptions/>
  <pageMargins left="0.15748031496062992" right="0.15748031496062992" top="0.1968503937007874" bottom="0.11811023622047245" header="0.15748031496062992" footer="0.11811023622047245"/>
  <pageSetup horizontalDpi="600" verticalDpi="600" orientation="portrait" paperSize="9" scale="83" r:id="rId5"/>
  <rowBreaks count="1" manualBreakCount="1">
    <brk id="55" max="10" man="1"/>
  </rowBreaks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J35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140625" style="0" bestFit="1" customWidth="1"/>
    <col min="2" max="2" width="12.00390625" style="0" bestFit="1" customWidth="1"/>
    <col min="3" max="3" width="10.8515625" style="0" customWidth="1"/>
    <col min="4" max="4" width="10.28125" style="0" customWidth="1"/>
    <col min="8" max="8" width="12.140625" style="0" customWidth="1"/>
    <col min="10" max="10" width="10.421875" style="0" customWidth="1"/>
    <col min="13" max="13" width="14.28125" style="0" customWidth="1"/>
    <col min="14" max="14" width="12.421875" style="0" bestFit="1" customWidth="1"/>
    <col min="20" max="20" width="11.57421875" style="0" customWidth="1"/>
    <col min="27" max="27" width="12.421875" style="0" bestFit="1" customWidth="1"/>
  </cols>
  <sheetData>
    <row r="1" spans="1:10" ht="12.75">
      <c r="A1" s="127" t="s">
        <v>32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2.75">
      <c r="A2" s="127" t="s">
        <v>22</v>
      </c>
      <c r="B2" s="127"/>
      <c r="C2" s="127"/>
      <c r="D2" s="127" t="s">
        <v>29</v>
      </c>
      <c r="E2" s="127"/>
      <c r="F2" s="127"/>
      <c r="G2" s="127"/>
      <c r="H2" s="127"/>
      <c r="I2" s="127"/>
      <c r="J2" s="127"/>
    </row>
    <row r="3" spans="1:10" ht="12.75">
      <c r="A3" s="127"/>
      <c r="B3" s="127"/>
      <c r="C3" s="127"/>
      <c r="D3" s="8">
        <v>2</v>
      </c>
      <c r="E3" s="8">
        <v>2.5</v>
      </c>
      <c r="F3" s="8">
        <v>3</v>
      </c>
      <c r="G3" s="8">
        <v>3.5</v>
      </c>
      <c r="H3" s="8">
        <v>4</v>
      </c>
      <c r="I3" s="8">
        <v>4.5</v>
      </c>
      <c r="J3" s="8">
        <v>5</v>
      </c>
    </row>
    <row r="4" spans="1:10" ht="12.75">
      <c r="A4" s="127"/>
      <c r="B4" s="127"/>
      <c r="C4" s="127"/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3" t="s">
        <v>30</v>
      </c>
    </row>
    <row r="5" spans="1:10" ht="12.75">
      <c r="A5" s="10">
        <v>0.3</v>
      </c>
      <c r="B5" s="3">
        <v>12.7</v>
      </c>
      <c r="C5" s="3" t="s">
        <v>23</v>
      </c>
      <c r="D5" s="12">
        <v>0.4</v>
      </c>
      <c r="E5" s="12">
        <f aca="true" t="shared" si="0" ref="E5:E10">(D5+F5)/2</f>
        <v>0.42500000000000004</v>
      </c>
      <c r="F5" s="12">
        <v>0.45</v>
      </c>
      <c r="G5" s="12">
        <f aca="true" t="shared" si="1" ref="G5:G10">(F5+H5)/2</f>
        <v>0.5</v>
      </c>
      <c r="H5" s="12">
        <v>0.55</v>
      </c>
      <c r="I5" s="12">
        <f aca="true" t="shared" si="2" ref="I5:I10">(H5+J5)/2</f>
        <v>0.55</v>
      </c>
      <c r="J5" s="12">
        <v>0.55</v>
      </c>
    </row>
    <row r="6" spans="1:10" ht="12.75">
      <c r="A6" s="10">
        <v>0.1</v>
      </c>
      <c r="B6" s="3">
        <v>12.7</v>
      </c>
      <c r="C6" s="3" t="s">
        <v>24</v>
      </c>
      <c r="D6" s="12">
        <v>0.35</v>
      </c>
      <c r="E6" s="12">
        <f t="shared" si="0"/>
        <v>0.375</v>
      </c>
      <c r="F6" s="12">
        <v>0.4</v>
      </c>
      <c r="G6" s="12">
        <f t="shared" si="1"/>
        <v>0.42500000000000004</v>
      </c>
      <c r="H6" s="12">
        <v>0.45</v>
      </c>
      <c r="I6" s="12">
        <f t="shared" si="2"/>
        <v>0.5</v>
      </c>
      <c r="J6" s="12">
        <v>0.55</v>
      </c>
    </row>
    <row r="7" spans="1:10" ht="12.75">
      <c r="A7" s="10">
        <v>0.1</v>
      </c>
      <c r="B7" s="3">
        <v>0.6</v>
      </c>
      <c r="C7" s="3" t="s">
        <v>25</v>
      </c>
      <c r="D7" s="12">
        <v>0.35</v>
      </c>
      <c r="E7" s="12">
        <f t="shared" si="0"/>
        <v>0.35</v>
      </c>
      <c r="F7" s="12">
        <v>0.35</v>
      </c>
      <c r="G7" s="12">
        <f t="shared" si="1"/>
        <v>0.35</v>
      </c>
      <c r="H7" s="12">
        <v>0.35</v>
      </c>
      <c r="I7" s="12">
        <f t="shared" si="2"/>
        <v>0.375</v>
      </c>
      <c r="J7" s="12">
        <v>0.4</v>
      </c>
    </row>
    <row r="8" spans="1:12" ht="12.75">
      <c r="A8" s="10">
        <v>0.075</v>
      </c>
      <c r="B8" s="3">
        <v>0.6</v>
      </c>
      <c r="C8" s="3" t="s">
        <v>26</v>
      </c>
      <c r="D8" s="12">
        <v>0.35</v>
      </c>
      <c r="E8" s="12">
        <f t="shared" si="0"/>
        <v>0.35</v>
      </c>
      <c r="F8" s="12">
        <v>0.35</v>
      </c>
      <c r="G8" s="12">
        <f t="shared" si="1"/>
        <v>0.35</v>
      </c>
      <c r="H8" s="12">
        <v>0.35</v>
      </c>
      <c r="I8" s="12">
        <f t="shared" si="2"/>
        <v>0.35</v>
      </c>
      <c r="J8" s="12">
        <v>0.35</v>
      </c>
      <c r="K8" s="20"/>
      <c r="L8" s="15"/>
    </row>
    <row r="9" spans="1:12" ht="12.75">
      <c r="A9" s="10">
        <v>0.075</v>
      </c>
      <c r="B9" s="3">
        <v>0.3</v>
      </c>
      <c r="C9" s="3" t="s">
        <v>27</v>
      </c>
      <c r="D9" s="12">
        <v>0.35</v>
      </c>
      <c r="E9" s="12">
        <f t="shared" si="0"/>
        <v>0.35</v>
      </c>
      <c r="F9" s="12">
        <v>0.35</v>
      </c>
      <c r="G9" s="12">
        <f t="shared" si="1"/>
        <v>0.35</v>
      </c>
      <c r="H9" s="12">
        <v>0.35</v>
      </c>
      <c r="I9" s="12">
        <f t="shared" si="2"/>
        <v>0.35</v>
      </c>
      <c r="J9" s="12">
        <v>0.35</v>
      </c>
      <c r="K9" s="20"/>
      <c r="L9" s="15"/>
    </row>
    <row r="10" spans="1:10" ht="12.75">
      <c r="A10" s="10">
        <v>0.045</v>
      </c>
      <c r="B10" s="3">
        <v>0.2</v>
      </c>
      <c r="C10" s="3" t="s">
        <v>28</v>
      </c>
      <c r="D10" s="12">
        <v>0.3</v>
      </c>
      <c r="E10" s="12">
        <f t="shared" si="0"/>
        <v>0.3</v>
      </c>
      <c r="F10" s="12">
        <v>0.3</v>
      </c>
      <c r="G10" s="12">
        <f t="shared" si="1"/>
        <v>0.32499999999999996</v>
      </c>
      <c r="H10" s="12">
        <v>0.35</v>
      </c>
      <c r="I10" s="12">
        <f t="shared" si="2"/>
        <v>0.32499999999999996</v>
      </c>
      <c r="J10" s="12">
        <v>0.3</v>
      </c>
    </row>
    <row r="12" spans="1:10" ht="12.75">
      <c r="A12" s="127" t="s">
        <v>33</v>
      </c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2.75">
      <c r="A13" s="127" t="s">
        <v>22</v>
      </c>
      <c r="B13" s="127"/>
      <c r="C13" s="127"/>
      <c r="D13" s="127" t="s">
        <v>29</v>
      </c>
      <c r="E13" s="127"/>
      <c r="F13" s="127"/>
      <c r="G13" s="127"/>
      <c r="H13" s="127"/>
      <c r="I13" s="127"/>
      <c r="J13" s="127"/>
    </row>
    <row r="14" spans="1:10" ht="12.75">
      <c r="A14" s="127"/>
      <c r="B14" s="127"/>
      <c r="C14" s="127"/>
      <c r="D14" s="8">
        <v>2</v>
      </c>
      <c r="E14" s="8">
        <v>2.5</v>
      </c>
      <c r="F14" s="8">
        <v>3</v>
      </c>
      <c r="G14" s="8">
        <v>3.5</v>
      </c>
      <c r="H14" s="8">
        <v>4</v>
      </c>
      <c r="I14" s="8">
        <v>4.5</v>
      </c>
      <c r="J14" s="8">
        <v>5</v>
      </c>
    </row>
    <row r="15" spans="1:10" ht="12.75">
      <c r="A15" s="127"/>
      <c r="B15" s="127"/>
      <c r="C15" s="127"/>
      <c r="D15" s="3" t="s">
        <v>31</v>
      </c>
      <c r="E15" s="3" t="s">
        <v>31</v>
      </c>
      <c r="F15" s="3" t="s">
        <v>31</v>
      </c>
      <c r="G15" s="3" t="s">
        <v>31</v>
      </c>
      <c r="H15" s="3" t="s">
        <v>31</v>
      </c>
      <c r="I15" s="3" t="s">
        <v>31</v>
      </c>
      <c r="J15" s="3" t="s">
        <v>31</v>
      </c>
    </row>
    <row r="16" spans="1:10" ht="12.75">
      <c r="A16" s="10">
        <v>0.3</v>
      </c>
      <c r="B16" s="3">
        <v>12.7</v>
      </c>
      <c r="C16" s="3" t="s">
        <v>23</v>
      </c>
      <c r="D16" s="11">
        <v>0.75</v>
      </c>
      <c r="E16" s="11">
        <f aca="true" t="shared" si="3" ref="E16:E21">(D16+F16)/2</f>
        <v>0.775</v>
      </c>
      <c r="F16" s="11">
        <v>0.8</v>
      </c>
      <c r="G16" s="11">
        <f aca="true" t="shared" si="4" ref="G16:G21">(F16+H16)/2</f>
        <v>0.8500000000000001</v>
      </c>
      <c r="H16" s="11">
        <v>0.9</v>
      </c>
      <c r="I16" s="11">
        <f aca="true" t="shared" si="5" ref="I16:I21">(H16+J16)/2</f>
        <v>0.925</v>
      </c>
      <c r="J16" s="11">
        <v>0.95</v>
      </c>
    </row>
    <row r="17" spans="1:10" ht="12.75">
      <c r="A17" s="10">
        <v>0.1</v>
      </c>
      <c r="B17" s="3">
        <v>12.7</v>
      </c>
      <c r="C17" s="3" t="s">
        <v>24</v>
      </c>
      <c r="D17" s="11">
        <v>0.7</v>
      </c>
      <c r="E17" s="11">
        <f t="shared" si="3"/>
        <v>0.725</v>
      </c>
      <c r="F17" s="11">
        <v>0.75</v>
      </c>
      <c r="G17" s="11">
        <f t="shared" si="4"/>
        <v>0.75</v>
      </c>
      <c r="H17" s="11">
        <v>0.75</v>
      </c>
      <c r="I17" s="11">
        <f t="shared" si="5"/>
        <v>0.775</v>
      </c>
      <c r="J17" s="11">
        <v>0.8</v>
      </c>
    </row>
    <row r="18" spans="1:10" ht="12.75">
      <c r="A18" s="10">
        <v>0.1</v>
      </c>
      <c r="B18" s="3">
        <v>0.6</v>
      </c>
      <c r="C18" s="3" t="s">
        <v>25</v>
      </c>
      <c r="D18" s="11">
        <v>0.67</v>
      </c>
      <c r="E18" s="11">
        <f t="shared" si="3"/>
        <v>0.685</v>
      </c>
      <c r="F18" s="11">
        <v>0.7</v>
      </c>
      <c r="G18" s="11">
        <f t="shared" si="4"/>
        <v>0.725</v>
      </c>
      <c r="H18" s="11">
        <v>0.75</v>
      </c>
      <c r="I18" s="11">
        <f t="shared" si="5"/>
        <v>0.775</v>
      </c>
      <c r="J18" s="11">
        <v>0.8</v>
      </c>
    </row>
    <row r="19" spans="1:10" ht="12.75">
      <c r="A19" s="10">
        <v>0.075</v>
      </c>
      <c r="B19" s="3">
        <v>0.6</v>
      </c>
      <c r="C19" s="3" t="s">
        <v>26</v>
      </c>
      <c r="D19" s="11">
        <v>0.6</v>
      </c>
      <c r="E19" s="11">
        <f t="shared" si="3"/>
        <v>0.635</v>
      </c>
      <c r="F19" s="11">
        <v>0.67</v>
      </c>
      <c r="G19" s="11">
        <f t="shared" si="4"/>
        <v>0.685</v>
      </c>
      <c r="H19" s="11">
        <v>0.7</v>
      </c>
      <c r="I19" s="11">
        <f t="shared" si="5"/>
        <v>0.7</v>
      </c>
      <c r="J19" s="11">
        <v>0.7</v>
      </c>
    </row>
    <row r="20" spans="1:10" ht="12.75">
      <c r="A20" s="10">
        <v>0.075</v>
      </c>
      <c r="B20" s="3">
        <v>0.3</v>
      </c>
      <c r="C20" s="3" t="s">
        <v>27</v>
      </c>
      <c r="D20" s="11">
        <v>0.5</v>
      </c>
      <c r="E20" s="11">
        <f t="shared" si="3"/>
        <v>0.55</v>
      </c>
      <c r="F20" s="11">
        <v>0.6</v>
      </c>
      <c r="G20" s="11">
        <f t="shared" si="4"/>
        <v>0.635</v>
      </c>
      <c r="H20" s="11">
        <v>0.67</v>
      </c>
      <c r="I20" s="11">
        <f t="shared" si="5"/>
        <v>0.685</v>
      </c>
      <c r="J20" s="11">
        <v>0.7</v>
      </c>
    </row>
    <row r="21" spans="1:10" ht="12.75">
      <c r="A21" s="10">
        <v>0.045</v>
      </c>
      <c r="B21" s="3">
        <v>0.2</v>
      </c>
      <c r="C21" s="3" t="s">
        <v>28</v>
      </c>
      <c r="D21" s="11">
        <v>0.5</v>
      </c>
      <c r="E21" s="11">
        <f t="shared" si="3"/>
        <v>0.55</v>
      </c>
      <c r="F21" s="11">
        <v>0.6</v>
      </c>
      <c r="G21" s="11">
        <f t="shared" si="4"/>
        <v>0.6</v>
      </c>
      <c r="H21" s="11">
        <v>0.6</v>
      </c>
      <c r="I21" s="11">
        <f t="shared" si="5"/>
        <v>0.55</v>
      </c>
      <c r="J21" s="11">
        <v>0.5</v>
      </c>
    </row>
    <row r="23" spans="1:5" ht="12.75">
      <c r="A23" s="3" t="s">
        <v>53</v>
      </c>
      <c r="B23" s="3">
        <f>'Classificador Espiral'!D11</f>
        <v>0.5</v>
      </c>
      <c r="D23" s="3" t="s">
        <v>54</v>
      </c>
      <c r="E23" s="17">
        <f>'Classificador Espiral'!D12</f>
        <v>3.2</v>
      </c>
    </row>
    <row r="24" spans="1:5" ht="12.75">
      <c r="A24" s="15"/>
      <c r="B24" s="15"/>
      <c r="D24" s="15"/>
      <c r="E24" s="18"/>
    </row>
    <row r="25" spans="4:5" ht="12.75">
      <c r="D25" s="3" t="s">
        <v>30</v>
      </c>
      <c r="E25" s="3" t="s">
        <v>31</v>
      </c>
    </row>
    <row r="26" spans="1:8" ht="12.75">
      <c r="A26" s="3">
        <f aca="true" t="shared" si="6" ref="A26:A31">IF($B$23&gt;=A16,1,0)</f>
        <v>1</v>
      </c>
      <c r="B26" s="3">
        <f aca="true" t="shared" si="7" ref="B26:B31">IF($B$23&lt;=B16,1,0)</f>
        <v>1</v>
      </c>
      <c r="C26" s="3" t="str">
        <f aca="true" t="shared" si="8" ref="C26:C31">IF(B26+A26=2,C16,"")</f>
        <v>0.300-12.7</v>
      </c>
      <c r="D26" s="3">
        <f aca="true" t="shared" si="9" ref="D26:E31">ROUND(G26/10000,2)</f>
        <v>0.47</v>
      </c>
      <c r="E26" s="11">
        <f t="shared" si="9"/>
        <v>0.82</v>
      </c>
      <c r="F26" s="1"/>
      <c r="G26">
        <f>88.889*E23^6-1666.7*E23^5+12556*E23^4-48583*E23^3+101856*E23^2-109250*E23+50500</f>
        <v>4721.840449535986</v>
      </c>
      <c r="H26">
        <f>-0.00000007*E23^6+133.33*E23^5-2333.3*E23^4+15833*E23^3-51917*E23^2+82783*E23-44000</f>
        <v>8165.1500304380315</v>
      </c>
    </row>
    <row r="27" spans="1:8" ht="12.75">
      <c r="A27" s="3">
        <f t="shared" si="6"/>
        <v>1</v>
      </c>
      <c r="B27" s="3">
        <f t="shared" si="7"/>
        <v>1</v>
      </c>
      <c r="C27" s="3" t="str">
        <f t="shared" si="8"/>
        <v>0.100-12.7</v>
      </c>
      <c r="D27" s="3">
        <f t="shared" si="9"/>
        <v>0.41</v>
      </c>
      <c r="E27" s="11">
        <f t="shared" si="9"/>
        <v>0.75</v>
      </c>
      <c r="F27" s="1"/>
      <c r="G27">
        <f>-88.889*E23^6+1800*E23^5-14889*E23^4+64417*E23^3-153772*E23^2+192533*E23-95500</f>
        <v>4107.708606463741</v>
      </c>
      <c r="H27">
        <f>-0.00000005*E23^6-133.33*E23^5+2333.3*E23^4-15833*E23^3+51917*E23^2-81783*E23+56500</f>
        <v>7534.849840712937</v>
      </c>
    </row>
    <row r="28" spans="1:8" ht="12.75">
      <c r="A28" s="3">
        <f t="shared" si="6"/>
        <v>1</v>
      </c>
      <c r="B28" s="3">
        <f t="shared" si="7"/>
        <v>1</v>
      </c>
      <c r="C28" s="3" t="str">
        <f t="shared" si="8"/>
        <v>0.100-0.6</v>
      </c>
      <c r="D28" s="3">
        <f t="shared" si="9"/>
        <v>0.35</v>
      </c>
      <c r="E28" s="11">
        <f t="shared" si="9"/>
        <v>0.71</v>
      </c>
      <c r="F28" s="1"/>
      <c r="G28">
        <f>-88.889*E23^6+1800*E23^5-14889*E23^4+64417*E23^3-153772*E23^2+192033*E23-94500</f>
        <v>3507.7086064637406</v>
      </c>
      <c r="H28">
        <f>-35.556*E23^6+773.33*E23^5-6888.9*E23^4+32100*E23^3-82276*E23^2+110027*E23-53300</f>
        <v>7087.964051456074</v>
      </c>
    </row>
    <row r="29" spans="1:8" ht="12.75">
      <c r="A29" s="3">
        <f t="shared" si="6"/>
        <v>1</v>
      </c>
      <c r="B29" s="3">
        <f t="shared" si="7"/>
        <v>1</v>
      </c>
      <c r="C29" s="3" t="str">
        <f t="shared" si="8"/>
        <v>0.075-0.6</v>
      </c>
      <c r="D29" s="3">
        <f t="shared" si="9"/>
        <v>0.35</v>
      </c>
      <c r="E29" s="11">
        <f t="shared" si="9"/>
        <v>0.67</v>
      </c>
      <c r="F29" s="1"/>
      <c r="G29">
        <f>0.35*10000</f>
        <v>3500</v>
      </c>
      <c r="H29">
        <f>124.44*E23^6-2626.7*E23^5+22711*E23^4-102850*E23^3+256814*E23^2-333973*E23+182200</f>
        <v>6736.080834560096</v>
      </c>
    </row>
    <row r="30" spans="1:8" ht="12.75">
      <c r="A30" s="3">
        <f t="shared" si="6"/>
        <v>1</v>
      </c>
      <c r="B30" s="3">
        <f t="shared" si="7"/>
        <v>0</v>
      </c>
      <c r="C30" s="3">
        <f t="shared" si="8"/>
      </c>
      <c r="D30" s="3">
        <f t="shared" si="9"/>
        <v>0.35</v>
      </c>
      <c r="E30" s="11">
        <f t="shared" si="9"/>
        <v>0.61</v>
      </c>
      <c r="F30" s="1"/>
      <c r="G30">
        <f>0.35*10000</f>
        <v>3500</v>
      </c>
      <c r="H30">
        <f>124.44*E23^6-2600*E23^5+22244*E23^4-99683*E23^3+246431*E23^2-317217*E23+170500</f>
        <v>6100.150978560443</v>
      </c>
    </row>
    <row r="31" spans="1:8" ht="12.75">
      <c r="A31" s="3">
        <f t="shared" si="6"/>
        <v>1</v>
      </c>
      <c r="B31" s="3">
        <f t="shared" si="7"/>
        <v>0</v>
      </c>
      <c r="C31" s="3">
        <f t="shared" si="8"/>
      </c>
      <c r="D31" s="3">
        <f t="shared" si="9"/>
        <v>0.31</v>
      </c>
      <c r="E31" s="11">
        <f t="shared" si="9"/>
        <v>0.6</v>
      </c>
      <c r="F31" s="1"/>
      <c r="G31">
        <f>88.889*E23^6-1666.7*E23^5+12556*E23^4-48583*E23^3+101856*E23^2-109750*E23+50500</f>
        <v>3121.8404495359864</v>
      </c>
      <c r="H31">
        <f>355.56*E23^6-7466.7*E23^5+64222*E23^4-289333*E23^3+718922*E23^2-931700*E23+496000</f>
        <v>5993.191997440532</v>
      </c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50" spans="1:10" ht="12.75">
      <c r="A50" s="127" t="s">
        <v>32</v>
      </c>
      <c r="B50" s="127"/>
      <c r="C50" s="127"/>
      <c r="D50" s="127"/>
      <c r="E50" s="127"/>
      <c r="F50" s="127"/>
      <c r="G50" s="127"/>
      <c r="H50" s="127"/>
      <c r="I50" s="127"/>
      <c r="J50" s="127"/>
    </row>
    <row r="51" spans="1:10" ht="12.75">
      <c r="A51" s="127" t="s">
        <v>22</v>
      </c>
      <c r="B51" s="127"/>
      <c r="C51" s="127"/>
      <c r="D51" s="127" t="s">
        <v>29</v>
      </c>
      <c r="E51" s="127"/>
      <c r="F51" s="127"/>
      <c r="G51" s="127"/>
      <c r="H51" s="127"/>
      <c r="I51" s="127"/>
      <c r="J51" s="127"/>
    </row>
    <row r="52" spans="1:10" ht="12.75">
      <c r="A52" s="127"/>
      <c r="B52" s="127"/>
      <c r="C52" s="127"/>
      <c r="D52" s="8">
        <v>2</v>
      </c>
      <c r="E52" s="8">
        <v>2.5</v>
      </c>
      <c r="F52" s="8">
        <v>3</v>
      </c>
      <c r="G52" s="8">
        <v>3.5</v>
      </c>
      <c r="H52" s="8">
        <v>4</v>
      </c>
      <c r="I52" s="8">
        <v>4.5</v>
      </c>
      <c r="J52" s="8">
        <v>5</v>
      </c>
    </row>
    <row r="53" spans="1:10" ht="12.75">
      <c r="A53" s="127"/>
      <c r="B53" s="127"/>
      <c r="C53" s="127"/>
      <c r="D53" s="3" t="s">
        <v>30</v>
      </c>
      <c r="E53" s="3" t="s">
        <v>30</v>
      </c>
      <c r="F53" s="3" t="s">
        <v>30</v>
      </c>
      <c r="G53" s="3" t="s">
        <v>30</v>
      </c>
      <c r="H53" s="3" t="s">
        <v>30</v>
      </c>
      <c r="I53" s="3" t="s">
        <v>30</v>
      </c>
      <c r="J53" s="3" t="s">
        <v>30</v>
      </c>
    </row>
    <row r="54" spans="1:11" ht="12.75">
      <c r="A54" s="10">
        <v>0.3</v>
      </c>
      <c r="B54" s="3">
        <v>12.7</v>
      </c>
      <c r="C54" s="3" t="s">
        <v>23</v>
      </c>
      <c r="D54" s="12">
        <f>D5*10000</f>
        <v>4000</v>
      </c>
      <c r="E54" s="12">
        <f aca="true" t="shared" si="10" ref="E54:J54">E5*10000</f>
        <v>4250</v>
      </c>
      <c r="F54" s="12">
        <f t="shared" si="10"/>
        <v>4500</v>
      </c>
      <c r="G54" s="12">
        <f t="shared" si="10"/>
        <v>5000</v>
      </c>
      <c r="H54" s="12">
        <f t="shared" si="10"/>
        <v>5500</v>
      </c>
      <c r="I54" s="12">
        <f t="shared" si="10"/>
        <v>5500</v>
      </c>
      <c r="J54" s="12">
        <f t="shared" si="10"/>
        <v>5500</v>
      </c>
      <c r="K54" t="s">
        <v>55</v>
      </c>
    </row>
    <row r="55" spans="1:11" ht="12.75">
      <c r="A55" s="10">
        <v>0.1</v>
      </c>
      <c r="B55" s="3">
        <v>12.7</v>
      </c>
      <c r="C55" s="3" t="s">
        <v>24</v>
      </c>
      <c r="D55" s="12">
        <f>D6*10000</f>
        <v>3500</v>
      </c>
      <c r="E55" s="12">
        <f aca="true" t="shared" si="11" ref="E55:J57">E6*10000</f>
        <v>3750</v>
      </c>
      <c r="F55" s="12">
        <f t="shared" si="11"/>
        <v>4000</v>
      </c>
      <c r="G55" s="12">
        <f t="shared" si="11"/>
        <v>4250</v>
      </c>
      <c r="H55" s="12">
        <f t="shared" si="11"/>
        <v>4500</v>
      </c>
      <c r="I55" s="12">
        <f t="shared" si="11"/>
        <v>5000</v>
      </c>
      <c r="J55" s="12">
        <f t="shared" si="11"/>
        <v>5500</v>
      </c>
      <c r="K55" t="s">
        <v>57</v>
      </c>
    </row>
    <row r="56" spans="1:11" ht="12.75">
      <c r="A56" s="10">
        <v>0.1</v>
      </c>
      <c r="B56" s="3">
        <v>0.6</v>
      </c>
      <c r="C56" s="3" t="s">
        <v>25</v>
      </c>
      <c r="D56" s="12">
        <f>D7*10000</f>
        <v>3500</v>
      </c>
      <c r="E56" s="12">
        <f t="shared" si="11"/>
        <v>3500</v>
      </c>
      <c r="F56" s="12">
        <f t="shared" si="11"/>
        <v>3500</v>
      </c>
      <c r="G56" s="12">
        <f t="shared" si="11"/>
        <v>3500</v>
      </c>
      <c r="H56" s="12">
        <f t="shared" si="11"/>
        <v>3500</v>
      </c>
      <c r="I56" s="12">
        <f t="shared" si="11"/>
        <v>3750</v>
      </c>
      <c r="J56" s="12">
        <f t="shared" si="11"/>
        <v>4000</v>
      </c>
      <c r="K56" t="s">
        <v>59</v>
      </c>
    </row>
    <row r="57" spans="1:11" ht="12.75">
      <c r="A57" s="10">
        <v>0.075</v>
      </c>
      <c r="B57" s="3">
        <v>0.6</v>
      </c>
      <c r="C57" s="3" t="s">
        <v>26</v>
      </c>
      <c r="D57" s="12">
        <f>D8*10000</f>
        <v>3500</v>
      </c>
      <c r="E57" s="12">
        <f t="shared" si="11"/>
        <v>3500</v>
      </c>
      <c r="F57" s="12">
        <f t="shared" si="11"/>
        <v>3500</v>
      </c>
      <c r="G57" s="12">
        <f t="shared" si="11"/>
        <v>3500</v>
      </c>
      <c r="H57" s="12">
        <f t="shared" si="11"/>
        <v>3500</v>
      </c>
      <c r="I57" s="12">
        <f t="shared" si="11"/>
        <v>3500</v>
      </c>
      <c r="J57" s="12">
        <f t="shared" si="11"/>
        <v>3500</v>
      </c>
      <c r="K57">
        <v>0.35</v>
      </c>
    </row>
    <row r="58" spans="1:11" ht="12.75">
      <c r="A58" s="10">
        <v>0.075</v>
      </c>
      <c r="B58" s="3">
        <v>0.3</v>
      </c>
      <c r="C58" s="3" t="s">
        <v>27</v>
      </c>
      <c r="D58" s="12">
        <f aca="true" t="shared" si="12" ref="D58:J58">D9*10000</f>
        <v>3500</v>
      </c>
      <c r="E58" s="12">
        <f t="shared" si="12"/>
        <v>3500</v>
      </c>
      <c r="F58" s="12">
        <f t="shared" si="12"/>
        <v>3500</v>
      </c>
      <c r="G58" s="12">
        <f t="shared" si="12"/>
        <v>3500</v>
      </c>
      <c r="H58" s="12">
        <f t="shared" si="12"/>
        <v>3500</v>
      </c>
      <c r="I58" s="12">
        <f t="shared" si="12"/>
        <v>3500</v>
      </c>
      <c r="J58" s="12">
        <f t="shared" si="12"/>
        <v>3500</v>
      </c>
      <c r="K58">
        <v>0.35</v>
      </c>
    </row>
    <row r="59" spans="1:11" ht="12.75">
      <c r="A59" s="10">
        <v>0.045</v>
      </c>
      <c r="B59" s="3">
        <v>0.2</v>
      </c>
      <c r="C59" s="3" t="s">
        <v>28</v>
      </c>
      <c r="D59" s="12">
        <f aca="true" t="shared" si="13" ref="D59:J59">D10*10000</f>
        <v>3000</v>
      </c>
      <c r="E59" s="12">
        <f t="shared" si="13"/>
        <v>3000</v>
      </c>
      <c r="F59" s="12">
        <f t="shared" si="13"/>
        <v>3000</v>
      </c>
      <c r="G59" s="12">
        <f t="shared" si="13"/>
        <v>3249.9999999999995</v>
      </c>
      <c r="H59" s="12">
        <f t="shared" si="13"/>
        <v>3500</v>
      </c>
      <c r="I59" s="12">
        <f t="shared" si="13"/>
        <v>3249.9999999999995</v>
      </c>
      <c r="J59" s="12">
        <f t="shared" si="13"/>
        <v>3000</v>
      </c>
      <c r="K59" t="s">
        <v>63</v>
      </c>
    </row>
    <row r="61" spans="1:10" ht="12.75">
      <c r="A61" s="127" t="s">
        <v>33</v>
      </c>
      <c r="B61" s="127"/>
      <c r="C61" s="127"/>
      <c r="D61" s="127"/>
      <c r="E61" s="127"/>
      <c r="F61" s="127"/>
      <c r="G61" s="127"/>
      <c r="H61" s="127"/>
      <c r="I61" s="127"/>
      <c r="J61" s="127"/>
    </row>
    <row r="62" spans="1:10" ht="12.75">
      <c r="A62" s="127" t="s">
        <v>22</v>
      </c>
      <c r="B62" s="127"/>
      <c r="C62" s="127"/>
      <c r="D62" s="127" t="s">
        <v>29</v>
      </c>
      <c r="E62" s="127"/>
      <c r="F62" s="127"/>
      <c r="G62" s="127"/>
      <c r="H62" s="127"/>
      <c r="I62" s="127"/>
      <c r="J62" s="127"/>
    </row>
    <row r="63" spans="1:10" ht="12.75">
      <c r="A63" s="127"/>
      <c r="B63" s="127"/>
      <c r="C63" s="127"/>
      <c r="D63" s="8">
        <v>2</v>
      </c>
      <c r="E63" s="8">
        <v>2.5</v>
      </c>
      <c r="F63" s="8">
        <v>3</v>
      </c>
      <c r="G63" s="8">
        <v>3.5</v>
      </c>
      <c r="H63" s="8">
        <v>4</v>
      </c>
      <c r="I63" s="8">
        <v>4.5</v>
      </c>
      <c r="J63" s="8">
        <v>5</v>
      </c>
    </row>
    <row r="64" spans="1:10" ht="12.75">
      <c r="A64" s="127"/>
      <c r="B64" s="127"/>
      <c r="C64" s="127"/>
      <c r="D64" s="3" t="s">
        <v>31</v>
      </c>
      <c r="E64" s="3" t="s">
        <v>31</v>
      </c>
      <c r="F64" s="3" t="s">
        <v>31</v>
      </c>
      <c r="G64" s="3" t="s">
        <v>31</v>
      </c>
      <c r="H64" s="3" t="s">
        <v>31</v>
      </c>
      <c r="I64" s="3" t="s">
        <v>31</v>
      </c>
      <c r="J64" s="3" t="s">
        <v>31</v>
      </c>
    </row>
    <row r="65" spans="1:11" ht="12.75">
      <c r="A65" s="10">
        <v>0.3</v>
      </c>
      <c r="B65" s="3">
        <v>12.7</v>
      </c>
      <c r="C65" s="3" t="s">
        <v>23</v>
      </c>
      <c r="D65" s="19">
        <f>D16*10000</f>
        <v>7500</v>
      </c>
      <c r="E65" s="19">
        <f aca="true" t="shared" si="14" ref="E65:J65">E16*10000</f>
        <v>7750</v>
      </c>
      <c r="F65" s="19">
        <f t="shared" si="14"/>
        <v>8000</v>
      </c>
      <c r="G65" s="19">
        <f t="shared" si="14"/>
        <v>8500</v>
      </c>
      <c r="H65" s="19">
        <f t="shared" si="14"/>
        <v>9000</v>
      </c>
      <c r="I65" s="19">
        <f t="shared" si="14"/>
        <v>9250</v>
      </c>
      <c r="J65" s="19">
        <f t="shared" si="14"/>
        <v>9500</v>
      </c>
      <c r="K65" t="s">
        <v>56</v>
      </c>
    </row>
    <row r="66" spans="1:11" ht="12.75">
      <c r="A66" s="10">
        <v>0.1</v>
      </c>
      <c r="B66" s="3">
        <v>12.7</v>
      </c>
      <c r="C66" s="3" t="s">
        <v>24</v>
      </c>
      <c r="D66" s="19">
        <f>D17*10000</f>
        <v>7000</v>
      </c>
      <c r="E66" s="19">
        <f aca="true" t="shared" si="15" ref="E66:J68">E17*10000</f>
        <v>7250</v>
      </c>
      <c r="F66" s="19">
        <f t="shared" si="15"/>
        <v>7500</v>
      </c>
      <c r="G66" s="19">
        <f t="shared" si="15"/>
        <v>7500</v>
      </c>
      <c r="H66" s="19">
        <f t="shared" si="15"/>
        <v>7500</v>
      </c>
      <c r="I66" s="19">
        <f t="shared" si="15"/>
        <v>7750</v>
      </c>
      <c r="J66" s="19">
        <f t="shared" si="15"/>
        <v>8000</v>
      </c>
      <c r="K66" t="s">
        <v>58</v>
      </c>
    </row>
    <row r="67" spans="1:11" ht="12.75">
      <c r="A67" s="10">
        <v>0.1</v>
      </c>
      <c r="B67" s="3">
        <v>0.6</v>
      </c>
      <c r="C67" s="3" t="s">
        <v>25</v>
      </c>
      <c r="D67" s="19">
        <f>D18*10000</f>
        <v>6700</v>
      </c>
      <c r="E67" s="19">
        <f t="shared" si="15"/>
        <v>6850.000000000001</v>
      </c>
      <c r="F67" s="19">
        <f t="shared" si="15"/>
        <v>7000</v>
      </c>
      <c r="G67" s="19">
        <f t="shared" si="15"/>
        <v>7250</v>
      </c>
      <c r="H67" s="19">
        <f t="shared" si="15"/>
        <v>7500</v>
      </c>
      <c r="I67" s="19">
        <f t="shared" si="15"/>
        <v>7750</v>
      </c>
      <c r="J67" s="19">
        <f t="shared" si="15"/>
        <v>8000</v>
      </c>
      <c r="K67" t="s">
        <v>60</v>
      </c>
    </row>
    <row r="68" spans="1:11" ht="12.75">
      <c r="A68" s="10">
        <v>0.075</v>
      </c>
      <c r="B68" s="3">
        <v>0.6</v>
      </c>
      <c r="C68" s="3" t="s">
        <v>26</v>
      </c>
      <c r="D68" s="19">
        <f>D19*10000</f>
        <v>6000</v>
      </c>
      <c r="E68" s="19">
        <f t="shared" si="15"/>
        <v>6350</v>
      </c>
      <c r="F68" s="19">
        <f t="shared" si="15"/>
        <v>6700</v>
      </c>
      <c r="G68" s="19">
        <f t="shared" si="15"/>
        <v>6850.000000000001</v>
      </c>
      <c r="H68" s="19">
        <f t="shared" si="15"/>
        <v>7000</v>
      </c>
      <c r="I68" s="19">
        <f t="shared" si="15"/>
        <v>7000</v>
      </c>
      <c r="J68" s="19">
        <f t="shared" si="15"/>
        <v>7000</v>
      </c>
      <c r="K68" t="s">
        <v>61</v>
      </c>
    </row>
    <row r="69" spans="1:11" ht="12.75">
      <c r="A69" s="10">
        <v>0.075</v>
      </c>
      <c r="B69" s="3">
        <v>0.3</v>
      </c>
      <c r="C69" s="3" t="s">
        <v>27</v>
      </c>
      <c r="D69" s="19">
        <f aca="true" t="shared" si="16" ref="D69:J69">D20*10000</f>
        <v>5000</v>
      </c>
      <c r="E69" s="19">
        <f t="shared" si="16"/>
        <v>5500</v>
      </c>
      <c r="F69" s="19">
        <f t="shared" si="16"/>
        <v>6000</v>
      </c>
      <c r="G69" s="19">
        <f t="shared" si="16"/>
        <v>6350</v>
      </c>
      <c r="H69" s="19">
        <f t="shared" si="16"/>
        <v>6700</v>
      </c>
      <c r="I69" s="19">
        <f t="shared" si="16"/>
        <v>6850.000000000001</v>
      </c>
      <c r="J69" s="19">
        <f t="shared" si="16"/>
        <v>7000</v>
      </c>
      <c r="K69" t="s">
        <v>62</v>
      </c>
    </row>
    <row r="70" spans="1:11" ht="12.75">
      <c r="A70" s="10">
        <v>0.045</v>
      </c>
      <c r="B70" s="3">
        <v>0.2</v>
      </c>
      <c r="C70" s="3" t="s">
        <v>28</v>
      </c>
      <c r="D70" s="19">
        <f aca="true" t="shared" si="17" ref="D70:J70">D21*10000</f>
        <v>5000</v>
      </c>
      <c r="E70" s="19">
        <f t="shared" si="17"/>
        <v>5500</v>
      </c>
      <c r="F70" s="19">
        <f t="shared" si="17"/>
        <v>6000</v>
      </c>
      <c r="G70" s="19">
        <f t="shared" si="17"/>
        <v>6000</v>
      </c>
      <c r="H70" s="19">
        <f t="shared" si="17"/>
        <v>6000</v>
      </c>
      <c r="I70" s="19">
        <f t="shared" si="17"/>
        <v>5500</v>
      </c>
      <c r="J70" s="19">
        <f t="shared" si="17"/>
        <v>5000</v>
      </c>
      <c r="K70" t="s">
        <v>64</v>
      </c>
    </row>
    <row r="75" spans="1:4" ht="12.75">
      <c r="A75" s="3" t="s">
        <v>65</v>
      </c>
      <c r="B75" s="3" t="s">
        <v>2</v>
      </c>
      <c r="C75" s="3" t="s">
        <v>66</v>
      </c>
      <c r="D75" s="3" t="s">
        <v>67</v>
      </c>
    </row>
    <row r="76" spans="1:4" ht="12.75">
      <c r="A76" s="3">
        <v>20</v>
      </c>
      <c r="B76" s="3">
        <v>0.833</v>
      </c>
      <c r="C76" s="3">
        <v>0.408</v>
      </c>
      <c r="D76" s="3">
        <v>45</v>
      </c>
    </row>
    <row r="77" spans="1:4" ht="12.75">
      <c r="A77" s="3">
        <v>28</v>
      </c>
      <c r="B77" s="3">
        <v>0.589</v>
      </c>
      <c r="C77" s="3">
        <v>0.358</v>
      </c>
      <c r="D77" s="3">
        <v>40</v>
      </c>
    </row>
    <row r="78" spans="1:4" ht="12.75">
      <c r="A78" s="3">
        <v>35</v>
      </c>
      <c r="B78" s="3">
        <v>0.417</v>
      </c>
      <c r="C78" s="3">
        <v>0.327</v>
      </c>
      <c r="D78" s="3">
        <v>35</v>
      </c>
    </row>
    <row r="79" spans="1:4" ht="12.75">
      <c r="A79" s="3">
        <v>48</v>
      </c>
      <c r="B79" s="3">
        <v>0.295</v>
      </c>
      <c r="C79" s="3">
        <v>0.279</v>
      </c>
      <c r="D79" s="3">
        <v>32</v>
      </c>
    </row>
    <row r="80" spans="1:4" ht="12.75">
      <c r="A80" s="3">
        <v>65</v>
      </c>
      <c r="B80" s="3">
        <v>0.208</v>
      </c>
      <c r="C80" s="3">
        <v>0.237</v>
      </c>
      <c r="D80" s="3">
        <v>30</v>
      </c>
    </row>
    <row r="81" spans="1:4" ht="12.75">
      <c r="A81" s="3">
        <v>100</v>
      </c>
      <c r="B81" s="3">
        <v>0.147</v>
      </c>
      <c r="C81" s="3">
        <v>0.175</v>
      </c>
      <c r="D81" s="3">
        <v>20</v>
      </c>
    </row>
    <row r="82" spans="1:4" ht="12.75">
      <c r="A82" s="3">
        <v>150</v>
      </c>
      <c r="B82" s="3">
        <v>0.105</v>
      </c>
      <c r="C82" s="3">
        <v>0.115</v>
      </c>
      <c r="D82" s="3">
        <v>18</v>
      </c>
    </row>
    <row r="83" spans="1:4" ht="12.75">
      <c r="A83" s="3">
        <v>200</v>
      </c>
      <c r="B83" s="3">
        <v>0.074</v>
      </c>
      <c r="C83" s="3">
        <v>0.075</v>
      </c>
      <c r="D83" s="3">
        <v>15</v>
      </c>
    </row>
    <row r="98" spans="1:9" ht="12.75">
      <c r="A98" s="127" t="s">
        <v>68</v>
      </c>
      <c r="B98" s="127"/>
      <c r="C98" s="127"/>
      <c r="D98" s="127"/>
      <c r="E98" s="127"/>
      <c r="F98" s="127"/>
      <c r="G98" s="127"/>
      <c r="H98" s="127"/>
      <c r="I98" s="127"/>
    </row>
    <row r="99" spans="1:27" ht="38.25">
      <c r="A99" s="21" t="s">
        <v>69</v>
      </c>
      <c r="B99" s="9" t="s">
        <v>81</v>
      </c>
      <c r="C99" s="9" t="s">
        <v>82</v>
      </c>
      <c r="D99" s="131" t="s">
        <v>94</v>
      </c>
      <c r="E99" s="131"/>
      <c r="F99" s="131" t="s">
        <v>95</v>
      </c>
      <c r="G99" s="131"/>
      <c r="H99" s="131" t="s">
        <v>96</v>
      </c>
      <c r="I99" s="131"/>
      <c r="L99" s="3" t="s">
        <v>97</v>
      </c>
      <c r="M99" s="3">
        <v>3</v>
      </c>
      <c r="N99" s="3">
        <v>4</v>
      </c>
      <c r="O99" s="3">
        <v>5</v>
      </c>
      <c r="P99" s="3">
        <v>6</v>
      </c>
      <c r="Q99" s="3">
        <v>7</v>
      </c>
      <c r="R99" s="3">
        <v>8</v>
      </c>
      <c r="S99" s="3">
        <v>9</v>
      </c>
      <c r="T99" s="3">
        <v>10</v>
      </c>
      <c r="U99" s="3">
        <v>11</v>
      </c>
      <c r="V99" s="3">
        <v>12</v>
      </c>
      <c r="W99" s="3">
        <v>13</v>
      </c>
      <c r="X99" s="3">
        <v>14</v>
      </c>
      <c r="Y99" s="3">
        <v>15</v>
      </c>
      <c r="Z99" s="3">
        <v>16</v>
      </c>
      <c r="AA99" s="3">
        <v>20</v>
      </c>
    </row>
    <row r="100" spans="1:27" ht="12.75">
      <c r="A100" s="3" t="s">
        <v>70</v>
      </c>
      <c r="B100" s="3">
        <v>1</v>
      </c>
      <c r="C100" s="3" t="s">
        <v>83</v>
      </c>
      <c r="D100" s="128">
        <f>B100*1*6</f>
        <v>6</v>
      </c>
      <c r="E100" s="128"/>
      <c r="F100" s="128">
        <f>B100*2*11</f>
        <v>22</v>
      </c>
      <c r="G100" s="128"/>
      <c r="H100" s="128">
        <f>B100*3*16</f>
        <v>48</v>
      </c>
      <c r="I100" s="128"/>
      <c r="J100">
        <v>24</v>
      </c>
      <c r="L100" s="3">
        <v>12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>
        <v>0.24</v>
      </c>
      <c r="Z100" s="3"/>
      <c r="AA100" s="3">
        <v>0.32</v>
      </c>
    </row>
    <row r="101" spans="1:27" ht="12.75">
      <c r="A101" s="3" t="s">
        <v>71</v>
      </c>
      <c r="B101" s="3">
        <v>1.7</v>
      </c>
      <c r="C101" s="3" t="s">
        <v>84</v>
      </c>
      <c r="D101" s="128">
        <f>B101*1*5</f>
        <v>8.5</v>
      </c>
      <c r="E101" s="128"/>
      <c r="F101" s="128">
        <f>B101*2*9</f>
        <v>30.599999999999998</v>
      </c>
      <c r="G101" s="128"/>
      <c r="H101" s="128">
        <f>B101*3*13</f>
        <v>66.3</v>
      </c>
      <c r="I101" s="128"/>
      <c r="J101">
        <v>30</v>
      </c>
      <c r="L101" s="3">
        <v>16</v>
      </c>
      <c r="M101" s="3"/>
      <c r="N101" s="3"/>
      <c r="O101" s="3"/>
      <c r="P101" s="3"/>
      <c r="Q101" s="3"/>
      <c r="R101" s="3"/>
      <c r="S101" s="3"/>
      <c r="T101" s="3"/>
      <c r="U101" s="3">
        <v>0.21</v>
      </c>
      <c r="V101" s="3"/>
      <c r="W101" s="3"/>
      <c r="X101" s="3"/>
      <c r="Y101" s="3">
        <v>0.32</v>
      </c>
      <c r="Z101" s="3"/>
      <c r="AA101" s="3"/>
    </row>
    <row r="102" spans="1:27" ht="12.75">
      <c r="A102" s="3" t="s">
        <v>72</v>
      </c>
      <c r="B102" s="3">
        <v>3.5</v>
      </c>
      <c r="C102" s="3" t="s">
        <v>85</v>
      </c>
      <c r="D102" s="128">
        <f>B102*1*4</f>
        <v>14</v>
      </c>
      <c r="E102" s="128"/>
      <c r="F102" s="128">
        <f>B102*2*7.5</f>
        <v>52.5</v>
      </c>
      <c r="G102" s="128"/>
      <c r="H102" s="128">
        <f>B102*3*11</f>
        <v>115.5</v>
      </c>
      <c r="I102" s="128"/>
      <c r="J102" s="3">
        <v>36</v>
      </c>
      <c r="L102" s="3">
        <v>24</v>
      </c>
      <c r="M102" s="3"/>
      <c r="N102" s="3"/>
      <c r="O102" s="3"/>
      <c r="P102" s="3"/>
      <c r="Q102" s="3"/>
      <c r="R102" s="3"/>
      <c r="S102" s="3">
        <v>0.25</v>
      </c>
      <c r="T102" s="3">
        <v>0.28</v>
      </c>
      <c r="U102" s="3">
        <v>0.32</v>
      </c>
      <c r="V102" s="3">
        <v>0.35</v>
      </c>
      <c r="W102" s="3">
        <v>0.38</v>
      </c>
      <c r="X102" s="3">
        <v>0.42</v>
      </c>
      <c r="Y102" s="3">
        <v>0.48</v>
      </c>
      <c r="Z102" s="3">
        <v>0.51</v>
      </c>
      <c r="AA102" s="3"/>
    </row>
    <row r="103" spans="1:27" ht="12.75">
      <c r="A103" s="3" t="s">
        <v>73</v>
      </c>
      <c r="B103" s="3">
        <v>4.8</v>
      </c>
      <c r="C103" s="3" t="s">
        <v>86</v>
      </c>
      <c r="D103" s="128">
        <f>B103*1*3.5</f>
        <v>16.8</v>
      </c>
      <c r="E103" s="128"/>
      <c r="F103" s="128">
        <f>B103*2*6.25</f>
        <v>60</v>
      </c>
      <c r="G103" s="128"/>
      <c r="H103" s="128">
        <f>B103*3*9</f>
        <v>129.6</v>
      </c>
      <c r="I103" s="128"/>
      <c r="J103" s="3">
        <v>42</v>
      </c>
      <c r="L103" s="3">
        <v>30</v>
      </c>
      <c r="M103" s="3"/>
      <c r="N103" s="3"/>
      <c r="O103" s="3"/>
      <c r="P103" s="3"/>
      <c r="Q103" s="3"/>
      <c r="R103" s="3">
        <v>0.24</v>
      </c>
      <c r="S103" s="3">
        <v>0.28</v>
      </c>
      <c r="T103" s="3">
        <v>0.32</v>
      </c>
      <c r="U103" s="3">
        <v>0.4</v>
      </c>
      <c r="V103" s="3">
        <v>0.44</v>
      </c>
      <c r="W103" s="3">
        <v>0.48</v>
      </c>
      <c r="X103" s="3">
        <v>0.52</v>
      </c>
      <c r="Y103" s="3"/>
      <c r="Z103" s="3"/>
      <c r="AA103" s="3"/>
    </row>
    <row r="104" spans="1:27" ht="12.75">
      <c r="A104" s="3" t="s">
        <v>74</v>
      </c>
      <c r="B104" s="3">
        <v>8.7</v>
      </c>
      <c r="C104" s="3" t="s">
        <v>87</v>
      </c>
      <c r="D104" s="128">
        <f>B104*1*3.2</f>
        <v>27.84</v>
      </c>
      <c r="E104" s="128"/>
      <c r="F104" s="128">
        <f>B104*2*5.6</f>
        <v>97.43999999999998</v>
      </c>
      <c r="G104" s="128"/>
      <c r="H104" s="128">
        <f>B104*3*8</f>
        <v>208.79999999999998</v>
      </c>
      <c r="I104" s="128"/>
      <c r="J104" s="3">
        <v>48</v>
      </c>
      <c r="L104" s="3">
        <v>36</v>
      </c>
      <c r="M104" s="3"/>
      <c r="N104" s="3"/>
      <c r="O104" s="3"/>
      <c r="P104" s="3">
        <v>0.24</v>
      </c>
      <c r="Q104" s="3">
        <v>0.28</v>
      </c>
      <c r="R104" s="3">
        <v>0.34</v>
      </c>
      <c r="S104" s="3">
        <v>0.38</v>
      </c>
      <c r="T104" s="3">
        <v>0.43</v>
      </c>
      <c r="U104" s="3">
        <v>0.48</v>
      </c>
      <c r="V104" s="3">
        <v>0.53</v>
      </c>
      <c r="W104" s="3"/>
      <c r="X104" s="3"/>
      <c r="Y104" s="3"/>
      <c r="Z104" s="3"/>
      <c r="AA104" s="3"/>
    </row>
    <row r="105" spans="1:27" ht="12.75">
      <c r="A105" s="3" t="s">
        <v>75</v>
      </c>
      <c r="B105" s="3">
        <v>10.5</v>
      </c>
      <c r="C105" s="3" t="s">
        <v>88</v>
      </c>
      <c r="D105" s="128">
        <f>B105*1*2.9</f>
        <v>30.45</v>
      </c>
      <c r="E105" s="128"/>
      <c r="F105" s="128">
        <f>B105*2*5</f>
        <v>105</v>
      </c>
      <c r="G105" s="128"/>
      <c r="H105" s="128">
        <f>B105*3*7</f>
        <v>220.5</v>
      </c>
      <c r="I105" s="128"/>
      <c r="J105" s="3">
        <v>54</v>
      </c>
      <c r="L105" s="3">
        <v>48</v>
      </c>
      <c r="M105" s="3"/>
      <c r="N105" s="3"/>
      <c r="O105" s="3">
        <v>0.25</v>
      </c>
      <c r="P105" s="3">
        <v>0.32</v>
      </c>
      <c r="Q105" s="3">
        <v>0.38</v>
      </c>
      <c r="R105" s="3">
        <v>0.45</v>
      </c>
      <c r="S105" s="3">
        <v>0.51</v>
      </c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 t="s">
        <v>76</v>
      </c>
      <c r="B106" s="3">
        <v>17.3</v>
      </c>
      <c r="C106" s="3" t="s">
        <v>89</v>
      </c>
      <c r="D106" s="128">
        <f>B106*1*2.6</f>
        <v>44.980000000000004</v>
      </c>
      <c r="E106" s="128"/>
      <c r="F106" s="128">
        <f>B106*2*4.6</f>
        <v>159.16</v>
      </c>
      <c r="G106" s="128"/>
      <c r="H106" s="128">
        <f>B106*3*6.5</f>
        <v>337.35</v>
      </c>
      <c r="I106" s="128"/>
      <c r="J106" s="22">
        <v>60</v>
      </c>
      <c r="L106" s="3">
        <v>60</v>
      </c>
      <c r="M106" s="3">
        <v>0.24</v>
      </c>
      <c r="N106" s="3">
        <v>0.32</v>
      </c>
      <c r="O106" s="3">
        <v>0.4</v>
      </c>
      <c r="P106" s="3">
        <v>0.48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>
      <c r="A107" s="3" t="s">
        <v>77</v>
      </c>
      <c r="B107" s="3">
        <v>20.3</v>
      </c>
      <c r="C107" s="3" t="s">
        <v>90</v>
      </c>
      <c r="D107" s="128">
        <f>B107*1*2.3</f>
        <v>46.69</v>
      </c>
      <c r="E107" s="128"/>
      <c r="F107" s="128">
        <f>B107*2*4.1</f>
        <v>166.45999999999998</v>
      </c>
      <c r="G107" s="128"/>
      <c r="H107" s="128">
        <f>B107*3*6</f>
        <v>365.40000000000003</v>
      </c>
      <c r="I107" s="128"/>
      <c r="J107" s="22">
        <v>66</v>
      </c>
      <c r="L107" s="3">
        <v>78</v>
      </c>
      <c r="M107" s="3">
        <v>0.31</v>
      </c>
      <c r="N107" s="3">
        <v>0.43</v>
      </c>
      <c r="O107" s="3">
        <v>0.53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10" ht="12.75">
      <c r="A108" s="3" t="s">
        <v>78</v>
      </c>
      <c r="B108" s="3">
        <v>27.8</v>
      </c>
      <c r="C108" s="3" t="s">
        <v>91</v>
      </c>
      <c r="D108" s="128">
        <f>B108*1*2.1</f>
        <v>58.38</v>
      </c>
      <c r="E108" s="128"/>
      <c r="F108" s="128">
        <f>B108*2*3.7</f>
        <v>205.72000000000003</v>
      </c>
      <c r="G108" s="128"/>
      <c r="H108" s="128">
        <f>B108*3*5.3</f>
        <v>442.02000000000004</v>
      </c>
      <c r="I108" s="128"/>
      <c r="J108" s="22">
        <v>72</v>
      </c>
    </row>
    <row r="109" spans="1:10" ht="12.75">
      <c r="A109" s="3" t="s">
        <v>79</v>
      </c>
      <c r="B109" s="3">
        <v>31.5</v>
      </c>
      <c r="C109" s="3" t="s">
        <v>92</v>
      </c>
      <c r="D109" s="128">
        <f>B109*1*2</f>
        <v>63</v>
      </c>
      <c r="E109" s="128"/>
      <c r="F109" s="128">
        <f>B109*2*3.5</f>
        <v>220.5</v>
      </c>
      <c r="G109" s="128"/>
      <c r="H109" s="128">
        <f>B109*3*5</f>
        <v>472.5</v>
      </c>
      <c r="I109" s="128"/>
      <c r="J109" s="22">
        <v>78</v>
      </c>
    </row>
    <row r="110" spans="1:10" ht="12.75">
      <c r="A110" s="3" t="s">
        <v>80</v>
      </c>
      <c r="B110" s="3">
        <v>37.5</v>
      </c>
      <c r="C110" s="3" t="s">
        <v>93</v>
      </c>
      <c r="D110" s="128">
        <f>B110*1*1.8</f>
        <v>67.5</v>
      </c>
      <c r="E110" s="128"/>
      <c r="F110" s="128">
        <f>B110*2*3.2</f>
        <v>240</v>
      </c>
      <c r="G110" s="128"/>
      <c r="H110" s="128">
        <f>B110*3*4.5</f>
        <v>506.25</v>
      </c>
      <c r="I110" s="128"/>
      <c r="J110" s="22">
        <v>84</v>
      </c>
    </row>
    <row r="112" spans="1:10" ht="33" customHeight="1">
      <c r="A112" s="129" t="s">
        <v>51</v>
      </c>
      <c r="B112" s="130"/>
      <c r="C112" s="130"/>
      <c r="D112" s="24">
        <f>'Classificador Espiral'!D30</f>
        <v>98.23943661971832</v>
      </c>
      <c r="I112" s="3" t="s">
        <v>115</v>
      </c>
      <c r="J112" s="12">
        <f>'Classificador Espiral'!D27</f>
        <v>0.35</v>
      </c>
    </row>
    <row r="113" spans="1:8" ht="12.75">
      <c r="A113" s="23" t="s">
        <v>70</v>
      </c>
      <c r="B113">
        <f>IF($D$112&gt;=D100,1,0)</f>
        <v>1</v>
      </c>
      <c r="C113">
        <f>IF($D$112&gt;=D100*2,1,0)</f>
        <v>1</v>
      </c>
      <c r="D113">
        <f>IF($D$112&gt;=D100*3,1,0)</f>
        <v>1</v>
      </c>
      <c r="E113">
        <f aca="true" t="shared" si="18" ref="E113:E123">IF($D$112&lt;=H100,4,0)</f>
        <v>0</v>
      </c>
      <c r="F113">
        <f aca="true" t="shared" si="19" ref="F113:F123">E113+B113</f>
        <v>1</v>
      </c>
      <c r="H113" s="3">
        <f>IF(F113&gt;=4,IF(F158="","",A113),"")</f>
      </c>
    </row>
    <row r="114" spans="1:8" ht="12.75">
      <c r="A114" s="3" t="s">
        <v>71</v>
      </c>
      <c r="B114">
        <f aca="true" t="shared" si="20" ref="B114:B123">IF($D$112&gt;=D101,1,0)</f>
        <v>1</v>
      </c>
      <c r="C114">
        <f aca="true" t="shared" si="21" ref="C114:C123">IF($D$112&gt;=D101*2,1,0)</f>
        <v>1</v>
      </c>
      <c r="D114">
        <f aca="true" t="shared" si="22" ref="D114:D123">IF($D$112&gt;=D101*3,1,0)</f>
        <v>1</v>
      </c>
      <c r="E114">
        <f t="shared" si="18"/>
        <v>0</v>
      </c>
      <c r="F114">
        <f t="shared" si="19"/>
        <v>1</v>
      </c>
      <c r="H114" s="3">
        <f aca="true" t="shared" si="23" ref="H114:H123">IF(F114&gt;=4,IF(F159="","",A114),"")</f>
      </c>
    </row>
    <row r="115" spans="1:8" ht="12.75">
      <c r="A115" s="3" t="s">
        <v>72</v>
      </c>
      <c r="B115">
        <f t="shared" si="20"/>
        <v>1</v>
      </c>
      <c r="C115">
        <f t="shared" si="21"/>
        <v>1</v>
      </c>
      <c r="D115">
        <f t="shared" si="22"/>
        <v>1</v>
      </c>
      <c r="E115">
        <f t="shared" si="18"/>
        <v>4</v>
      </c>
      <c r="F115">
        <f t="shared" si="19"/>
        <v>5</v>
      </c>
      <c r="H115" s="3">
        <f t="shared" si="23"/>
      </c>
    </row>
    <row r="116" spans="1:27" ht="12.75">
      <c r="A116" s="3" t="s">
        <v>73</v>
      </c>
      <c r="B116">
        <f t="shared" si="20"/>
        <v>1</v>
      </c>
      <c r="C116">
        <f t="shared" si="21"/>
        <v>1</v>
      </c>
      <c r="D116">
        <f t="shared" si="22"/>
        <v>1</v>
      </c>
      <c r="E116">
        <f t="shared" si="18"/>
        <v>4</v>
      </c>
      <c r="F116">
        <f t="shared" si="19"/>
        <v>5</v>
      </c>
      <c r="H116" s="3">
        <f t="shared" si="23"/>
      </c>
      <c r="L116" s="3" t="s">
        <v>97</v>
      </c>
      <c r="M116" s="3">
        <v>3</v>
      </c>
      <c r="N116" s="3">
        <v>4</v>
      </c>
      <c r="O116" s="3">
        <v>5</v>
      </c>
      <c r="P116" s="3">
        <v>6</v>
      </c>
      <c r="Q116" s="3">
        <v>7</v>
      </c>
      <c r="R116" s="3">
        <v>8</v>
      </c>
      <c r="S116" s="3">
        <v>9</v>
      </c>
      <c r="T116" s="3">
        <v>10</v>
      </c>
      <c r="U116" s="3">
        <v>11</v>
      </c>
      <c r="V116" s="3">
        <v>12</v>
      </c>
      <c r="W116" s="3">
        <v>13</v>
      </c>
      <c r="X116" s="3">
        <v>14</v>
      </c>
      <c r="Y116" s="3">
        <v>15</v>
      </c>
      <c r="Z116" s="3">
        <v>16</v>
      </c>
      <c r="AA116" s="3">
        <v>20</v>
      </c>
    </row>
    <row r="117" spans="1:27" ht="12.75">
      <c r="A117" s="3" t="s">
        <v>74</v>
      </c>
      <c r="B117">
        <f t="shared" si="20"/>
        <v>1</v>
      </c>
      <c r="C117">
        <f t="shared" si="21"/>
        <v>1</v>
      </c>
      <c r="D117">
        <f t="shared" si="22"/>
        <v>1</v>
      </c>
      <c r="E117">
        <f t="shared" si="18"/>
        <v>4</v>
      </c>
      <c r="F117">
        <f t="shared" si="19"/>
        <v>5</v>
      </c>
      <c r="H117" s="3" t="str">
        <f t="shared" si="23"/>
        <v>48"</v>
      </c>
      <c r="L117" s="3">
        <v>12</v>
      </c>
      <c r="M117" s="12">
        <f>3.14*($L117*2.54/100)*M116/60</f>
        <v>0.0478536</v>
      </c>
      <c r="N117" s="12">
        <f aca="true" t="shared" si="24" ref="N117:AA117">3.14*($L117*2.54/100)*N116/60</f>
        <v>0.06380480000000001</v>
      </c>
      <c r="O117" s="12">
        <f t="shared" si="24"/>
        <v>0.079756</v>
      </c>
      <c r="P117" s="12">
        <f t="shared" si="24"/>
        <v>0.0957072</v>
      </c>
      <c r="Q117" s="12">
        <f t="shared" si="24"/>
        <v>0.1116584</v>
      </c>
      <c r="R117" s="12">
        <f t="shared" si="24"/>
        <v>0.12760960000000002</v>
      </c>
      <c r="S117" s="12">
        <f t="shared" si="24"/>
        <v>0.1435608</v>
      </c>
      <c r="T117" s="12">
        <f t="shared" si="24"/>
        <v>0.159512</v>
      </c>
      <c r="U117" s="12">
        <f t="shared" si="24"/>
        <v>0.17546319999999999</v>
      </c>
      <c r="V117" s="12">
        <f t="shared" si="24"/>
        <v>0.1914144</v>
      </c>
      <c r="W117" s="12">
        <f t="shared" si="24"/>
        <v>0.2073656</v>
      </c>
      <c r="X117" s="12">
        <f t="shared" si="24"/>
        <v>0.2233168</v>
      </c>
      <c r="Y117" s="12">
        <f t="shared" si="24"/>
        <v>0.239268</v>
      </c>
      <c r="Z117" s="12">
        <f t="shared" si="24"/>
        <v>0.25521920000000003</v>
      </c>
      <c r="AA117" s="12">
        <f t="shared" si="24"/>
        <v>0.319024</v>
      </c>
    </row>
    <row r="118" spans="1:27" ht="12.75">
      <c r="A118" s="3" t="s">
        <v>75</v>
      </c>
      <c r="B118">
        <f t="shared" si="20"/>
        <v>1</v>
      </c>
      <c r="C118">
        <f t="shared" si="21"/>
        <v>1</v>
      </c>
      <c r="D118">
        <f t="shared" si="22"/>
        <v>1</v>
      </c>
      <c r="E118">
        <f t="shared" si="18"/>
        <v>4</v>
      </c>
      <c r="F118">
        <f t="shared" si="19"/>
        <v>5</v>
      </c>
      <c r="H118" s="3" t="str">
        <f t="shared" si="23"/>
        <v>54"</v>
      </c>
      <c r="L118" s="3">
        <v>16</v>
      </c>
      <c r="M118" s="12">
        <f>3.14*($L118*2.51/100)*M$116/60</f>
        <v>0.0630512</v>
      </c>
      <c r="N118" s="12">
        <f aca="true" t="shared" si="25" ref="N118:AA118">3.14*($L118*2.51/100)*N$116/60</f>
        <v>0.08406826666666666</v>
      </c>
      <c r="O118" s="12">
        <f t="shared" si="25"/>
        <v>0.10508533333333332</v>
      </c>
      <c r="P118" s="12">
        <f t="shared" si="25"/>
        <v>0.1261024</v>
      </c>
      <c r="Q118" s="12">
        <f t="shared" si="25"/>
        <v>0.14711946666666667</v>
      </c>
      <c r="R118" s="12">
        <f t="shared" si="25"/>
        <v>0.1681365333333333</v>
      </c>
      <c r="S118" s="12">
        <f t="shared" si="25"/>
        <v>0.18915359999999998</v>
      </c>
      <c r="T118" s="12">
        <f t="shared" si="25"/>
        <v>0.21017066666666664</v>
      </c>
      <c r="U118" s="12">
        <f t="shared" si="25"/>
        <v>0.23118773333333334</v>
      </c>
      <c r="V118" s="12">
        <f t="shared" si="25"/>
        <v>0.2522048</v>
      </c>
      <c r="W118" s="12">
        <f t="shared" si="25"/>
        <v>0.27322186666666665</v>
      </c>
      <c r="X118" s="12">
        <f t="shared" si="25"/>
        <v>0.29423893333333334</v>
      </c>
      <c r="Y118" s="12">
        <f t="shared" si="25"/>
        <v>0.315256</v>
      </c>
      <c r="Z118" s="12">
        <f t="shared" si="25"/>
        <v>0.3362730666666666</v>
      </c>
      <c r="AA118" s="12">
        <f t="shared" si="25"/>
        <v>0.4203413333333333</v>
      </c>
    </row>
    <row r="119" spans="1:27" ht="12.75">
      <c r="A119" s="3" t="s">
        <v>76</v>
      </c>
      <c r="B119">
        <f t="shared" si="20"/>
        <v>1</v>
      </c>
      <c r="C119">
        <f t="shared" si="21"/>
        <v>1</v>
      </c>
      <c r="D119">
        <f t="shared" si="22"/>
        <v>0</v>
      </c>
      <c r="E119">
        <f t="shared" si="18"/>
        <v>4</v>
      </c>
      <c r="F119">
        <f t="shared" si="19"/>
        <v>5</v>
      </c>
      <c r="H119" s="3" t="str">
        <f t="shared" si="23"/>
        <v>60"</v>
      </c>
      <c r="L119" s="3">
        <v>24</v>
      </c>
      <c r="M119" s="12">
        <f aca="true" t="shared" si="26" ref="M119:M124">3.14*($L119*2.54/100)*M$116/60</f>
        <v>0.0957072</v>
      </c>
      <c r="N119" s="12">
        <f aca="true" t="shared" si="27" ref="N119:AA124">3.14*($L119*2.54/100)*N$116/60</f>
        <v>0.12760960000000002</v>
      </c>
      <c r="O119" s="12">
        <f t="shared" si="27"/>
        <v>0.159512</v>
      </c>
      <c r="P119" s="12">
        <f t="shared" si="27"/>
        <v>0.1914144</v>
      </c>
      <c r="Q119" s="12">
        <f t="shared" si="27"/>
        <v>0.2233168</v>
      </c>
      <c r="R119" s="12">
        <f t="shared" si="27"/>
        <v>0.25521920000000003</v>
      </c>
      <c r="S119" s="12">
        <f t="shared" si="27"/>
        <v>0.2871216</v>
      </c>
      <c r="T119" s="12">
        <f t="shared" si="27"/>
        <v>0.319024</v>
      </c>
      <c r="U119" s="12">
        <f t="shared" si="27"/>
        <v>0.35092639999999997</v>
      </c>
      <c r="V119" s="12">
        <f t="shared" si="27"/>
        <v>0.3828288</v>
      </c>
      <c r="W119" s="12">
        <f t="shared" si="27"/>
        <v>0.4147312</v>
      </c>
      <c r="X119" s="12">
        <f t="shared" si="27"/>
        <v>0.4466336</v>
      </c>
      <c r="Y119" s="12">
        <f t="shared" si="27"/>
        <v>0.478536</v>
      </c>
      <c r="Z119" s="12">
        <f t="shared" si="27"/>
        <v>0.5104384000000001</v>
      </c>
      <c r="AA119" s="12">
        <f t="shared" si="27"/>
        <v>0.638048</v>
      </c>
    </row>
    <row r="120" spans="1:27" ht="12.75">
      <c r="A120" s="3" t="s">
        <v>77</v>
      </c>
      <c r="B120">
        <f t="shared" si="20"/>
        <v>1</v>
      </c>
      <c r="C120">
        <f t="shared" si="21"/>
        <v>1</v>
      </c>
      <c r="D120">
        <f t="shared" si="22"/>
        <v>0</v>
      </c>
      <c r="E120">
        <f t="shared" si="18"/>
        <v>4</v>
      </c>
      <c r="F120">
        <f t="shared" si="19"/>
        <v>5</v>
      </c>
      <c r="H120" s="3" t="str">
        <f t="shared" si="23"/>
        <v>66"</v>
      </c>
      <c r="L120" s="3">
        <v>30</v>
      </c>
      <c r="M120" s="12">
        <f t="shared" si="26"/>
        <v>0.11963399999999999</v>
      </c>
      <c r="N120" s="12">
        <f t="shared" si="27"/>
        <v>0.159512</v>
      </c>
      <c r="O120" s="12">
        <f t="shared" si="27"/>
        <v>0.19939</v>
      </c>
      <c r="P120" s="12">
        <f t="shared" si="27"/>
        <v>0.23926799999999998</v>
      </c>
      <c r="Q120" s="12">
        <f t="shared" si="27"/>
        <v>0.279146</v>
      </c>
      <c r="R120" s="12">
        <f t="shared" si="27"/>
        <v>0.319024</v>
      </c>
      <c r="S120" s="12">
        <f t="shared" si="27"/>
        <v>0.35890199999999994</v>
      </c>
      <c r="T120" s="12">
        <f t="shared" si="27"/>
        <v>0.39878</v>
      </c>
      <c r="U120" s="12">
        <f t="shared" si="27"/>
        <v>0.438658</v>
      </c>
      <c r="V120" s="12">
        <f t="shared" si="27"/>
        <v>0.47853599999999996</v>
      </c>
      <c r="W120" s="12">
        <f t="shared" si="27"/>
        <v>0.518414</v>
      </c>
      <c r="X120" s="12">
        <f t="shared" si="27"/>
        <v>0.558292</v>
      </c>
      <c r="Y120" s="12">
        <f t="shared" si="27"/>
        <v>0.59817</v>
      </c>
      <c r="Z120" s="12">
        <f t="shared" si="27"/>
        <v>0.638048</v>
      </c>
      <c r="AA120" s="12">
        <f t="shared" si="27"/>
        <v>0.79756</v>
      </c>
    </row>
    <row r="121" spans="1:27" ht="12.75">
      <c r="A121" s="3" t="s">
        <v>78</v>
      </c>
      <c r="B121">
        <f t="shared" si="20"/>
        <v>1</v>
      </c>
      <c r="C121">
        <f t="shared" si="21"/>
        <v>0</v>
      </c>
      <c r="D121">
        <f t="shared" si="22"/>
        <v>0</v>
      </c>
      <c r="E121">
        <f t="shared" si="18"/>
        <v>4</v>
      </c>
      <c r="F121">
        <f t="shared" si="19"/>
        <v>5</v>
      </c>
      <c r="H121" s="3" t="str">
        <f t="shared" si="23"/>
        <v>72"</v>
      </c>
      <c r="L121" s="3">
        <v>36</v>
      </c>
      <c r="M121" s="12">
        <f t="shared" si="26"/>
        <v>0.1435608</v>
      </c>
      <c r="N121" s="12">
        <f t="shared" si="27"/>
        <v>0.1914144</v>
      </c>
      <c r="O121" s="12">
        <f t="shared" si="27"/>
        <v>0.239268</v>
      </c>
      <c r="P121" s="12">
        <f t="shared" si="27"/>
        <v>0.2871216</v>
      </c>
      <c r="Q121" s="12">
        <f t="shared" si="27"/>
        <v>0.3349752</v>
      </c>
      <c r="R121" s="12">
        <f t="shared" si="27"/>
        <v>0.3828288</v>
      </c>
      <c r="S121" s="12">
        <f t="shared" si="27"/>
        <v>0.4306824</v>
      </c>
      <c r="T121" s="12">
        <f t="shared" si="27"/>
        <v>0.478536</v>
      </c>
      <c r="U121" s="12">
        <f t="shared" si="27"/>
        <v>0.5263896</v>
      </c>
      <c r="V121" s="12">
        <f t="shared" si="27"/>
        <v>0.5742432</v>
      </c>
      <c r="W121" s="12">
        <f t="shared" si="27"/>
        <v>0.6220968</v>
      </c>
      <c r="X121" s="12">
        <f t="shared" si="27"/>
        <v>0.6699504</v>
      </c>
      <c r="Y121" s="12">
        <f t="shared" si="27"/>
        <v>0.717804</v>
      </c>
      <c r="Z121" s="12">
        <f t="shared" si="27"/>
        <v>0.7656576</v>
      </c>
      <c r="AA121" s="12">
        <f t="shared" si="27"/>
        <v>0.957072</v>
      </c>
    </row>
    <row r="122" spans="1:27" ht="12.75">
      <c r="A122" s="3" t="s">
        <v>79</v>
      </c>
      <c r="B122">
        <f t="shared" si="20"/>
        <v>1</v>
      </c>
      <c r="C122">
        <f t="shared" si="21"/>
        <v>0</v>
      </c>
      <c r="D122">
        <f t="shared" si="22"/>
        <v>0</v>
      </c>
      <c r="E122">
        <f t="shared" si="18"/>
        <v>4</v>
      </c>
      <c r="F122">
        <f t="shared" si="19"/>
        <v>5</v>
      </c>
      <c r="H122" s="3" t="str">
        <f t="shared" si="23"/>
        <v>78"</v>
      </c>
      <c r="L122" s="3">
        <v>48</v>
      </c>
      <c r="M122" s="12">
        <f t="shared" si="26"/>
        <v>0.1914144</v>
      </c>
      <c r="N122" s="12">
        <f t="shared" si="27"/>
        <v>0.25521920000000003</v>
      </c>
      <c r="O122" s="12">
        <f t="shared" si="27"/>
        <v>0.319024</v>
      </c>
      <c r="P122" s="12">
        <f t="shared" si="27"/>
        <v>0.3828288</v>
      </c>
      <c r="Q122" s="12">
        <f t="shared" si="27"/>
        <v>0.4466336</v>
      </c>
      <c r="R122" s="12">
        <f t="shared" si="27"/>
        <v>0.5104384000000001</v>
      </c>
      <c r="S122" s="12">
        <f t="shared" si="27"/>
        <v>0.5742432</v>
      </c>
      <c r="T122" s="12">
        <f t="shared" si="27"/>
        <v>0.638048</v>
      </c>
      <c r="U122" s="12">
        <f t="shared" si="27"/>
        <v>0.7018527999999999</v>
      </c>
      <c r="V122" s="12">
        <f t="shared" si="27"/>
        <v>0.7656576</v>
      </c>
      <c r="W122" s="12">
        <f t="shared" si="27"/>
        <v>0.8294624</v>
      </c>
      <c r="X122" s="12">
        <f t="shared" si="27"/>
        <v>0.8932672</v>
      </c>
      <c r="Y122" s="12">
        <f t="shared" si="27"/>
        <v>0.957072</v>
      </c>
      <c r="Z122" s="12">
        <f t="shared" si="27"/>
        <v>1.0208768000000001</v>
      </c>
      <c r="AA122" s="12">
        <f t="shared" si="27"/>
        <v>1.276096</v>
      </c>
    </row>
    <row r="123" spans="1:27" ht="12.75">
      <c r="A123" s="3" t="s">
        <v>80</v>
      </c>
      <c r="B123">
        <f t="shared" si="20"/>
        <v>1</v>
      </c>
      <c r="C123">
        <f t="shared" si="21"/>
        <v>0</v>
      </c>
      <c r="D123">
        <f t="shared" si="22"/>
        <v>0</v>
      </c>
      <c r="E123">
        <f t="shared" si="18"/>
        <v>4</v>
      </c>
      <c r="F123">
        <f t="shared" si="19"/>
        <v>5</v>
      </c>
      <c r="H123" s="3" t="str">
        <f t="shared" si="23"/>
        <v>84"</v>
      </c>
      <c r="L123" s="3">
        <v>60</v>
      </c>
      <c r="M123" s="12">
        <f t="shared" si="26"/>
        <v>0.23926799999999998</v>
      </c>
      <c r="N123" s="12">
        <f t="shared" si="27"/>
        <v>0.319024</v>
      </c>
      <c r="O123" s="12">
        <f t="shared" si="27"/>
        <v>0.39878</v>
      </c>
      <c r="P123" s="12">
        <f t="shared" si="27"/>
        <v>0.47853599999999996</v>
      </c>
      <c r="Q123" s="12">
        <f t="shared" si="27"/>
        <v>0.558292</v>
      </c>
      <c r="R123" s="12">
        <f t="shared" si="27"/>
        <v>0.638048</v>
      </c>
      <c r="S123" s="12">
        <f t="shared" si="27"/>
        <v>0.7178039999999999</v>
      </c>
      <c r="T123" s="12">
        <f t="shared" si="27"/>
        <v>0.79756</v>
      </c>
      <c r="U123" s="12">
        <f t="shared" si="27"/>
        <v>0.877316</v>
      </c>
      <c r="V123" s="12">
        <f t="shared" si="27"/>
        <v>0.9570719999999999</v>
      </c>
      <c r="W123" s="12">
        <f t="shared" si="27"/>
        <v>1.036828</v>
      </c>
      <c r="X123" s="12">
        <f t="shared" si="27"/>
        <v>1.116584</v>
      </c>
      <c r="Y123" s="12">
        <f t="shared" si="27"/>
        <v>1.19634</v>
      </c>
      <c r="Z123" s="12">
        <f t="shared" si="27"/>
        <v>1.276096</v>
      </c>
      <c r="AA123" s="12">
        <f t="shared" si="27"/>
        <v>1.59512</v>
      </c>
    </row>
    <row r="124" spans="12:27" ht="12.75">
      <c r="L124" s="3">
        <v>78</v>
      </c>
      <c r="M124" s="12">
        <f t="shared" si="26"/>
        <v>0.3110484</v>
      </c>
      <c r="N124" s="12">
        <f t="shared" si="27"/>
        <v>0.4147312</v>
      </c>
      <c r="O124" s="12">
        <f t="shared" si="27"/>
        <v>0.518414</v>
      </c>
      <c r="P124" s="12">
        <f t="shared" si="27"/>
        <v>0.6220968</v>
      </c>
      <c r="Q124" s="12">
        <f t="shared" si="27"/>
        <v>0.7257796</v>
      </c>
      <c r="R124" s="12">
        <f t="shared" si="27"/>
        <v>0.8294624</v>
      </c>
      <c r="S124" s="12">
        <f t="shared" si="27"/>
        <v>0.9331452</v>
      </c>
      <c r="T124" s="12">
        <f t="shared" si="27"/>
        <v>1.036828</v>
      </c>
      <c r="U124" s="12">
        <f t="shared" si="27"/>
        <v>1.1405108000000002</v>
      </c>
      <c r="V124" s="12">
        <f t="shared" si="27"/>
        <v>1.2441936</v>
      </c>
      <c r="W124" s="12">
        <f t="shared" si="27"/>
        <v>1.3478764</v>
      </c>
      <c r="X124" s="12">
        <f t="shared" si="27"/>
        <v>1.4515592</v>
      </c>
      <c r="Y124" s="12">
        <f t="shared" si="27"/>
        <v>1.555242</v>
      </c>
      <c r="Z124" s="12">
        <f t="shared" si="27"/>
        <v>1.6589248</v>
      </c>
      <c r="AA124" s="12">
        <f t="shared" si="27"/>
        <v>2.073656</v>
      </c>
    </row>
    <row r="125" spans="2:7" ht="12.75">
      <c r="B125" s="127" t="s">
        <v>110</v>
      </c>
      <c r="C125" s="127"/>
      <c r="D125" s="127" t="s">
        <v>111</v>
      </c>
      <c r="E125" s="127"/>
      <c r="F125" s="127" t="s">
        <v>112</v>
      </c>
      <c r="G125" s="127"/>
    </row>
    <row r="126" spans="2:7" ht="12.75">
      <c r="B126" s="3" t="s">
        <v>113</v>
      </c>
      <c r="C126" s="3" t="s">
        <v>114</v>
      </c>
      <c r="D126" s="3" t="s">
        <v>113</v>
      </c>
      <c r="E126" s="3" t="s">
        <v>114</v>
      </c>
      <c r="F126" s="3" t="s">
        <v>113</v>
      </c>
      <c r="G126" s="3" t="s">
        <v>114</v>
      </c>
    </row>
    <row r="127" spans="1:7" ht="12.75">
      <c r="A127" s="25" t="s">
        <v>70</v>
      </c>
      <c r="B127" s="3">
        <f>$D$112/B100</f>
        <v>98.23943661971832</v>
      </c>
      <c r="C127" s="3">
        <f>IF(B143="","",3.14*(J100*2.54/100)*B143/60)</f>
      </c>
      <c r="D127" s="3">
        <f>$D$112/B100/2</f>
        <v>49.11971830985916</v>
      </c>
      <c r="E127" s="3">
        <f>IF(D143="","",3.14*(J100*2.54/100)*D143/60)</f>
      </c>
      <c r="F127" s="3">
        <f aca="true" t="shared" si="28" ref="F127:F137">$D$112/B100/3</f>
        <v>32.74647887323944</v>
      </c>
      <c r="G127" s="3">
        <f>IF(F143="","",3.14*(J100*2.54/100)*F143/60)</f>
      </c>
    </row>
    <row r="128" spans="1:7" ht="12.75">
      <c r="A128" s="26" t="s">
        <v>71</v>
      </c>
      <c r="B128" s="3">
        <f aca="true" t="shared" si="29" ref="B128:B137">$D$112/B101</f>
        <v>57.787903893951956</v>
      </c>
      <c r="C128" s="3">
        <f aca="true" t="shared" si="30" ref="C128:C137">IF(B144="","",3.14*(J101*2.54/100)*B144/60)</f>
      </c>
      <c r="D128" s="3">
        <f aca="true" t="shared" si="31" ref="D128:D137">$D$112/B101/2</f>
        <v>28.893951946975978</v>
      </c>
      <c r="E128" s="3">
        <f aca="true" t="shared" si="32" ref="E128:E137">IF(D144="","",3.14*(J101*2.54/100)*D144/60)</f>
      </c>
      <c r="F128" s="3">
        <f t="shared" si="28"/>
        <v>19.26263463131732</v>
      </c>
      <c r="G128" s="3">
        <f aca="true" t="shared" si="33" ref="G128:G137">IF(F144="","",3.14*(J101*2.54/100)*F144/60)</f>
      </c>
    </row>
    <row r="129" spans="1:7" ht="12.75">
      <c r="A129" s="26" t="s">
        <v>72</v>
      </c>
      <c r="B129" s="3">
        <f t="shared" si="29"/>
        <v>28.06841046277666</v>
      </c>
      <c r="C129" s="3">
        <f t="shared" si="30"/>
      </c>
      <c r="D129" s="3">
        <f t="shared" si="31"/>
        <v>14.03420523138833</v>
      </c>
      <c r="E129" s="3">
        <f t="shared" si="32"/>
      </c>
      <c r="F129" s="3">
        <f t="shared" si="28"/>
        <v>9.356136820925554</v>
      </c>
      <c r="G129" s="3">
        <f t="shared" si="33"/>
        <v>0.44772482897384314</v>
      </c>
    </row>
    <row r="130" spans="1:7" ht="12.75">
      <c r="A130" s="26" t="s">
        <v>73</v>
      </c>
      <c r="B130" s="3">
        <f t="shared" si="29"/>
        <v>20.46654929577465</v>
      </c>
      <c r="C130" s="3">
        <f t="shared" si="30"/>
      </c>
      <c r="D130" s="3">
        <f t="shared" si="31"/>
        <v>10.233274647887326</v>
      </c>
      <c r="E130" s="3">
        <f t="shared" si="32"/>
      </c>
      <c r="F130" s="3">
        <f t="shared" si="28"/>
        <v>6.822183098591551</v>
      </c>
      <c r="G130" s="3">
        <f t="shared" si="33"/>
        <v>0.3808770246478874</v>
      </c>
    </row>
    <row r="131" spans="1:7" ht="12.75">
      <c r="A131" s="26" t="s">
        <v>74</v>
      </c>
      <c r="B131" s="3">
        <f t="shared" si="29"/>
        <v>11.291889266634291</v>
      </c>
      <c r="C131" s="3">
        <f t="shared" si="30"/>
      </c>
      <c r="D131" s="3">
        <f t="shared" si="31"/>
        <v>5.6459446333171455</v>
      </c>
      <c r="E131" s="3">
        <f t="shared" si="32"/>
        <v>0.3602383681398738</v>
      </c>
      <c r="F131" s="3">
        <f t="shared" si="28"/>
        <v>3.763963088878097</v>
      </c>
      <c r="G131" s="3">
        <f t="shared" si="33"/>
        <v>0.2401589120932492</v>
      </c>
    </row>
    <row r="132" spans="1:7" ht="12.75">
      <c r="A132" s="26" t="s">
        <v>75</v>
      </c>
      <c r="B132" s="3">
        <f t="shared" si="29"/>
        <v>9.356136820925554</v>
      </c>
      <c r="C132" s="3">
        <f t="shared" si="30"/>
      </c>
      <c r="D132" s="3">
        <f t="shared" si="31"/>
        <v>4.678068410462777</v>
      </c>
      <c r="E132" s="3">
        <f t="shared" si="32"/>
        <v>0.33579362173038235</v>
      </c>
      <c r="F132" s="3">
        <f t="shared" si="28"/>
        <v>3.1187122736418513</v>
      </c>
      <c r="G132" s="3">
        <f t="shared" si="33"/>
        <v>0.22386241448692154</v>
      </c>
    </row>
    <row r="133" spans="1:12" ht="12.75">
      <c r="A133" s="26" t="s">
        <v>76</v>
      </c>
      <c r="B133" s="3">
        <f t="shared" si="29"/>
        <v>5.678580151428804</v>
      </c>
      <c r="C133" s="3">
        <f t="shared" si="30"/>
        <v>0.4529008385573557</v>
      </c>
      <c r="D133" s="3">
        <f t="shared" si="31"/>
        <v>2.839290075714402</v>
      </c>
      <c r="E133" s="3">
        <f t="shared" si="32"/>
        <v>0.22645041927867784</v>
      </c>
      <c r="F133" s="3">
        <f t="shared" si="28"/>
        <v>1.892860050476268</v>
      </c>
      <c r="G133" s="3">
        <f t="shared" si="33"/>
        <v>0.2073656</v>
      </c>
      <c r="L133" s="3" t="s">
        <v>206</v>
      </c>
    </row>
    <row r="134" spans="1:12" ht="12.75">
      <c r="A134" s="26" t="s">
        <v>77</v>
      </c>
      <c r="B134" s="3">
        <f t="shared" si="29"/>
        <v>4.839381114271839</v>
      </c>
      <c r="C134" s="3">
        <f t="shared" si="30"/>
        <v>0.4245666481648513</v>
      </c>
      <c r="D134" s="3">
        <f t="shared" si="31"/>
        <v>2.4196905571359193</v>
      </c>
      <c r="E134" s="3">
        <f t="shared" si="32"/>
        <v>0.21228332408242565</v>
      </c>
      <c r="F134" s="3">
        <f t="shared" si="28"/>
        <v>1.6131270380906129</v>
      </c>
      <c r="G134" s="3">
        <f t="shared" si="33"/>
        <v>0.20178268000000002</v>
      </c>
      <c r="L134" s="3">
        <v>1</v>
      </c>
    </row>
    <row r="135" spans="1:12" ht="12.75">
      <c r="A135" s="26" t="s">
        <v>78</v>
      </c>
      <c r="B135" s="3">
        <f t="shared" si="29"/>
        <v>3.5337926841625293</v>
      </c>
      <c r="C135" s="3">
        <f t="shared" si="30"/>
        <v>0.33820940318168</v>
      </c>
      <c r="D135" s="3">
        <f t="shared" si="31"/>
        <v>1.7668963420812647</v>
      </c>
      <c r="E135" s="3">
        <f t="shared" si="32"/>
        <v>0.20098512</v>
      </c>
      <c r="F135" s="3">
        <f t="shared" si="28"/>
        <v>1.1779308947208431</v>
      </c>
      <c r="G135" s="3">
        <f t="shared" si="33"/>
        <v>0.20098512</v>
      </c>
      <c r="L135" s="3">
        <v>2</v>
      </c>
    </row>
    <row r="136" spans="1:12" ht="12.75">
      <c r="A136" s="26" t="s">
        <v>79</v>
      </c>
      <c r="B136" s="3">
        <f t="shared" si="29"/>
        <v>3.1187122736418513</v>
      </c>
      <c r="C136" s="3">
        <f t="shared" si="30"/>
        <v>0.32335682092555335</v>
      </c>
      <c r="D136" s="3">
        <f t="shared" si="31"/>
        <v>1.5593561368209257</v>
      </c>
      <c r="E136" s="3">
        <f t="shared" si="32"/>
        <v>0.2073656</v>
      </c>
      <c r="F136" s="3">
        <f t="shared" si="28"/>
        <v>1.039570757880617</v>
      </c>
      <c r="G136" s="3">
        <f t="shared" si="33"/>
        <v>0.2073656</v>
      </c>
      <c r="L136" s="3">
        <v>3</v>
      </c>
    </row>
    <row r="137" spans="1:7" ht="12.75">
      <c r="A137" s="26" t="s">
        <v>80</v>
      </c>
      <c r="B137" s="3">
        <f t="shared" si="29"/>
        <v>2.619718309859155</v>
      </c>
      <c r="C137" s="3">
        <f t="shared" si="30"/>
        <v>0.2925135549295775</v>
      </c>
      <c r="D137" s="3">
        <f t="shared" si="31"/>
        <v>1.3098591549295775</v>
      </c>
      <c r="E137" s="3">
        <f t="shared" si="32"/>
        <v>0.20098512</v>
      </c>
      <c r="F137" s="3">
        <f t="shared" si="28"/>
        <v>0.8732394366197184</v>
      </c>
      <c r="G137" s="3">
        <f t="shared" si="33"/>
        <v>0.20098512</v>
      </c>
    </row>
    <row r="141" spans="2:7" ht="12.75">
      <c r="B141" s="127" t="s">
        <v>110</v>
      </c>
      <c r="C141" s="127"/>
      <c r="D141" s="127" t="s">
        <v>111</v>
      </c>
      <c r="E141" s="127"/>
      <c r="F141" s="127" t="s">
        <v>112</v>
      </c>
      <c r="G141" s="127"/>
    </row>
    <row r="142" spans="2:7" ht="12.75">
      <c r="B142" s="3" t="s">
        <v>113</v>
      </c>
      <c r="C142" s="3" t="s">
        <v>114</v>
      </c>
      <c r="D142" s="3" t="s">
        <v>113</v>
      </c>
      <c r="E142" s="3" t="s">
        <v>114</v>
      </c>
      <c r="F142" s="3" t="s">
        <v>113</v>
      </c>
      <c r="G142" s="3" t="s">
        <v>114</v>
      </c>
    </row>
    <row r="143" spans="1:7" ht="12.75">
      <c r="A143" s="25" t="s">
        <v>70</v>
      </c>
      <c r="B143" s="3">
        <f>IF(B127&gt;=6,IF(B127&gt;=16,"",B127),6)</f>
      </c>
      <c r="C143" s="3">
        <f aca="true" t="shared" si="34" ref="C143:C153">IF(C127&gt;=$J$112,"",C127)</f>
      </c>
      <c r="D143" s="3">
        <f>IF(D127&gt;=6,IF(D127&gt;=16,"",D127),6)</f>
      </c>
      <c r="E143" s="3">
        <f aca="true" t="shared" si="35" ref="E143:E153">IF(E127&gt;=$J$112,"",E127)</f>
      </c>
      <c r="F143" s="3">
        <f>IF(F127&gt;=6,IF(F127&gt;=16,"",F127),6)</f>
      </c>
      <c r="G143" s="3">
        <f aca="true" t="shared" si="36" ref="G143:G153">IF(G127&gt;=$J$112,"",G127)</f>
      </c>
    </row>
    <row r="144" spans="1:7" ht="12.75">
      <c r="A144" s="26" t="s">
        <v>71</v>
      </c>
      <c r="B144" s="3">
        <f>IF(B128&gt;=5,IF(B128&gt;=13,"",B128),5)</f>
      </c>
      <c r="C144" s="3">
        <f t="shared" si="34"/>
      </c>
      <c r="D144" s="3">
        <f>IF(D128&gt;=5,IF(D128&gt;=13,"",D128),5)</f>
      </c>
      <c r="E144" s="3">
        <f t="shared" si="35"/>
      </c>
      <c r="F144" s="3">
        <f>IF(F128&gt;=5,IF(F128&gt;=13,"",F128),5)</f>
      </c>
      <c r="G144" s="3">
        <f t="shared" si="36"/>
      </c>
    </row>
    <row r="145" spans="1:7" ht="12.75">
      <c r="A145" s="26" t="s">
        <v>72</v>
      </c>
      <c r="B145" s="3">
        <f>IF(B129&gt;=4,IF(B129&gt;=11,"",B129),4)</f>
      </c>
      <c r="C145" s="3">
        <f t="shared" si="34"/>
      </c>
      <c r="D145" s="3">
        <f>IF(D129&gt;=4,IF(D129&gt;=11,"",D129),4)</f>
      </c>
      <c r="E145" s="3">
        <f t="shared" si="35"/>
      </c>
      <c r="F145" s="3">
        <f>IF(F129&gt;=4,IF(F129&gt;=11,"",F129),4)</f>
        <v>9.356136820925554</v>
      </c>
      <c r="G145" s="3">
        <f t="shared" si="36"/>
      </c>
    </row>
    <row r="146" spans="1:7" ht="12.75">
      <c r="A146" s="26" t="s">
        <v>73</v>
      </c>
      <c r="B146" s="3">
        <f>IF(B130&gt;=3.5,IF(B130&gt;=9,"",B130),3.5)</f>
      </c>
      <c r="C146" s="3">
        <f t="shared" si="34"/>
      </c>
      <c r="D146" s="3">
        <f>IF(D130&gt;=3.5,IF(D130&gt;=9,"",D130),3.5)</f>
      </c>
      <c r="E146" s="3">
        <f t="shared" si="35"/>
      </c>
      <c r="F146" s="3">
        <f>IF(F130&gt;=3.5,IF(F130&gt;=9,"",F130),3.5)</f>
        <v>6.822183098591551</v>
      </c>
      <c r="G146" s="3">
        <f t="shared" si="36"/>
      </c>
    </row>
    <row r="147" spans="1:7" ht="12.75">
      <c r="A147" s="26" t="s">
        <v>74</v>
      </c>
      <c r="B147" s="3">
        <f>IF(B131&gt;=3.2,IF(B131&gt;=8,"",B131),3.2)</f>
      </c>
      <c r="C147" s="3">
        <f t="shared" si="34"/>
      </c>
      <c r="D147" s="3">
        <f>IF(D131&gt;=3.2,IF(D131&gt;=8,"",D131),3.2)</f>
        <v>5.6459446333171455</v>
      </c>
      <c r="E147" s="3">
        <f t="shared" si="35"/>
      </c>
      <c r="F147" s="3">
        <f>IF(F131&gt;=3.2,IF(F131&gt;=8,"",F131),3.2)</f>
        <v>3.763963088878097</v>
      </c>
      <c r="G147" s="3">
        <f t="shared" si="36"/>
        <v>0.2401589120932492</v>
      </c>
    </row>
    <row r="148" spans="1:7" ht="12.75">
      <c r="A148" s="26" t="s">
        <v>75</v>
      </c>
      <c r="B148" s="3">
        <f>IF(B132&gt;=2.9,IF(B132&gt;=7,"",B132),2.9)</f>
      </c>
      <c r="C148" s="3">
        <f t="shared" si="34"/>
      </c>
      <c r="D148" s="3">
        <f>IF(D132&gt;=2.9,IF(D132&gt;=7,"",D132),2.9)</f>
        <v>4.678068410462777</v>
      </c>
      <c r="E148" s="3">
        <f t="shared" si="35"/>
        <v>0.33579362173038235</v>
      </c>
      <c r="F148" s="3">
        <f>IF(F132&gt;=2.9,IF(F132&gt;=7,"",F132),2.9)</f>
        <v>3.1187122736418513</v>
      </c>
      <c r="G148" s="3">
        <f t="shared" si="36"/>
        <v>0.22386241448692154</v>
      </c>
    </row>
    <row r="149" spans="1:7" ht="12.75">
      <c r="A149" s="26" t="s">
        <v>76</v>
      </c>
      <c r="B149" s="3">
        <f>IF(B133&gt;=2.6,IF(B133&gt;=6.5,"",B133),2.6)</f>
        <v>5.678580151428804</v>
      </c>
      <c r="C149" s="3">
        <f t="shared" si="34"/>
      </c>
      <c r="D149" s="3">
        <f>IF(D133&gt;=2.6,IF(D133&gt;=6.5,"",D133),2.6)</f>
        <v>2.839290075714402</v>
      </c>
      <c r="E149" s="3">
        <f t="shared" si="35"/>
        <v>0.22645041927867784</v>
      </c>
      <c r="F149" s="3">
        <f>IF(F133&gt;=2.6,IF(F133&gt;=6.5,"",F133),2.6)</f>
        <v>2.6</v>
      </c>
      <c r="G149" s="3">
        <f t="shared" si="36"/>
        <v>0.2073656</v>
      </c>
    </row>
    <row r="150" spans="1:7" ht="12.75">
      <c r="A150" s="26" t="s">
        <v>77</v>
      </c>
      <c r="B150" s="3">
        <f>IF(B134&gt;=2.3,IF(B134&gt;=6,"",B134),2.3)</f>
        <v>4.839381114271839</v>
      </c>
      <c r="C150" s="3">
        <f t="shared" si="34"/>
      </c>
      <c r="D150" s="3">
        <f>IF(D134&gt;=2.3,IF(D134&gt;=6,"",D134),2.3)</f>
        <v>2.4196905571359193</v>
      </c>
      <c r="E150" s="3">
        <f t="shared" si="35"/>
        <v>0.21228332408242565</v>
      </c>
      <c r="F150" s="3">
        <f>IF(F134&gt;=2.3,IF(F134&gt;=6,"",F134),2.3)</f>
        <v>2.3</v>
      </c>
      <c r="G150" s="3">
        <f t="shared" si="36"/>
        <v>0.20178268000000002</v>
      </c>
    </row>
    <row r="151" spans="1:7" ht="12.75">
      <c r="A151" s="26" t="s">
        <v>78</v>
      </c>
      <c r="B151" s="3">
        <f>IF(B135&gt;=2.1,IF(B135&gt;=5.3,"",B135),2.1)</f>
        <v>3.5337926841625293</v>
      </c>
      <c r="C151" s="3">
        <f t="shared" si="34"/>
        <v>0.33820940318168</v>
      </c>
      <c r="D151" s="3">
        <f>IF(D135&gt;=2.1,IF(D135&gt;=5.3,"",D135),2.1)</f>
        <v>2.1</v>
      </c>
      <c r="E151" s="3">
        <f t="shared" si="35"/>
        <v>0.20098512</v>
      </c>
      <c r="F151" s="3">
        <f>IF(F135&gt;=2.1,IF(F135&gt;=5.3,"",F135),2.1)</f>
        <v>2.1</v>
      </c>
      <c r="G151" s="3">
        <f t="shared" si="36"/>
        <v>0.20098512</v>
      </c>
    </row>
    <row r="152" spans="1:7" ht="12.75">
      <c r="A152" s="26" t="s">
        <v>79</v>
      </c>
      <c r="B152" s="3">
        <f>IF(B136&gt;=2,IF(B136&gt;=5,"",B136),2)</f>
        <v>3.1187122736418513</v>
      </c>
      <c r="C152" s="3">
        <f t="shared" si="34"/>
        <v>0.32335682092555335</v>
      </c>
      <c r="D152" s="3">
        <f>IF(D136&gt;=2,IF(D136&gt;=5,"",D136),2)</f>
        <v>2</v>
      </c>
      <c r="E152" s="3">
        <f t="shared" si="35"/>
        <v>0.2073656</v>
      </c>
      <c r="F152" s="3">
        <f>IF(F136&gt;=2,IF(F136&gt;=5,"",F136),2)</f>
        <v>2</v>
      </c>
      <c r="G152" s="3">
        <f t="shared" si="36"/>
        <v>0.2073656</v>
      </c>
    </row>
    <row r="153" spans="1:7" ht="12.75">
      <c r="A153" s="26" t="s">
        <v>80</v>
      </c>
      <c r="B153" s="3">
        <f>IF(B137&gt;=1.8,IF(B137&gt;=4.5,"",B137),1.8)</f>
        <v>2.619718309859155</v>
      </c>
      <c r="C153" s="3">
        <f t="shared" si="34"/>
        <v>0.2925135549295775</v>
      </c>
      <c r="D153" s="3">
        <f>IF(D137&gt;=1.8,IF(D137&gt;=4.5,"",D137),1.8)</f>
        <v>1.8</v>
      </c>
      <c r="E153" s="3">
        <f t="shared" si="35"/>
        <v>0.20098512</v>
      </c>
      <c r="F153" s="3">
        <f>IF(F137&gt;=1.8,IF(F137&gt;=4.5,"",F137),1.8)</f>
        <v>1.8</v>
      </c>
      <c r="G153" s="3">
        <f t="shared" si="36"/>
        <v>0.20098512</v>
      </c>
    </row>
    <row r="156" spans="2:7" ht="12.75">
      <c r="B156" s="127" t="s">
        <v>110</v>
      </c>
      <c r="C156" s="127"/>
      <c r="D156" s="127" t="s">
        <v>111</v>
      </c>
      <c r="E156" s="127"/>
      <c r="F156" s="127" t="s">
        <v>112</v>
      </c>
      <c r="G156" s="127"/>
    </row>
    <row r="157" spans="2:7" ht="12.75">
      <c r="B157" s="3" t="s">
        <v>113</v>
      </c>
      <c r="C157" s="3" t="s">
        <v>114</v>
      </c>
      <c r="D157" s="3" t="s">
        <v>113</v>
      </c>
      <c r="E157" s="3" t="s">
        <v>114</v>
      </c>
      <c r="F157" s="3" t="s">
        <v>113</v>
      </c>
      <c r="G157" s="3" t="s">
        <v>114</v>
      </c>
    </row>
    <row r="158" spans="1:7" ht="12.75">
      <c r="A158" s="25" t="s">
        <v>70</v>
      </c>
      <c r="B158" s="27">
        <f aca="true" t="shared" si="37" ref="B158:D167">IF(C143="","",B143)</f>
      </c>
      <c r="C158" s="27">
        <f aca="true" t="shared" si="38" ref="C158:E167">IF(B143="","",C143)</f>
      </c>
      <c r="D158" s="27">
        <f t="shared" si="37"/>
      </c>
      <c r="E158" s="27">
        <f t="shared" si="38"/>
      </c>
      <c r="F158" s="27">
        <f aca="true" t="shared" si="39" ref="F158:F168">IF(G143="","",F143)</f>
      </c>
      <c r="G158" s="27">
        <f aca="true" t="shared" si="40" ref="G158:G168">IF(F143="","",G143)</f>
      </c>
    </row>
    <row r="159" spans="1:7" ht="12.75">
      <c r="A159" s="26" t="s">
        <v>71</v>
      </c>
      <c r="B159" s="27">
        <f t="shared" si="37"/>
      </c>
      <c r="C159" s="27">
        <f t="shared" si="38"/>
      </c>
      <c r="D159" s="27">
        <f t="shared" si="37"/>
      </c>
      <c r="E159" s="27">
        <f t="shared" si="38"/>
      </c>
      <c r="F159" s="27">
        <f t="shared" si="39"/>
      </c>
      <c r="G159" s="27">
        <f t="shared" si="40"/>
      </c>
    </row>
    <row r="160" spans="1:7" ht="12.75">
      <c r="A160" s="26" t="s">
        <v>72</v>
      </c>
      <c r="B160" s="27">
        <f t="shared" si="37"/>
      </c>
      <c r="C160" s="27">
        <f t="shared" si="38"/>
      </c>
      <c r="D160" s="27">
        <f t="shared" si="37"/>
      </c>
      <c r="E160" s="27">
        <f t="shared" si="38"/>
      </c>
      <c r="F160" s="27">
        <f t="shared" si="39"/>
      </c>
      <c r="G160" s="27">
        <f t="shared" si="40"/>
      </c>
    </row>
    <row r="161" spans="1:7" ht="12.75">
      <c r="A161" s="26" t="s">
        <v>73</v>
      </c>
      <c r="B161" s="27">
        <f t="shared" si="37"/>
      </c>
      <c r="C161" s="27">
        <f t="shared" si="38"/>
      </c>
      <c r="D161" s="27">
        <f t="shared" si="37"/>
      </c>
      <c r="E161" s="27">
        <f t="shared" si="38"/>
      </c>
      <c r="F161" s="27">
        <f t="shared" si="39"/>
      </c>
      <c r="G161" s="27">
        <f t="shared" si="40"/>
      </c>
    </row>
    <row r="162" spans="1:7" ht="12.75">
      <c r="A162" s="26" t="s">
        <v>74</v>
      </c>
      <c r="B162" s="27">
        <f t="shared" si="37"/>
      </c>
      <c r="C162" s="27">
        <f t="shared" si="38"/>
      </c>
      <c r="D162" s="27">
        <f t="shared" si="37"/>
      </c>
      <c r="E162" s="27">
        <f t="shared" si="38"/>
      </c>
      <c r="F162" s="27">
        <f t="shared" si="39"/>
        <v>3.763963088878097</v>
      </c>
      <c r="G162" s="27">
        <f t="shared" si="40"/>
        <v>0.2401589120932492</v>
      </c>
    </row>
    <row r="163" spans="1:7" ht="12.75">
      <c r="A163" s="26" t="s">
        <v>75</v>
      </c>
      <c r="B163" s="27">
        <f t="shared" si="37"/>
      </c>
      <c r="C163" s="27">
        <f t="shared" si="38"/>
      </c>
      <c r="D163" s="27">
        <f t="shared" si="37"/>
        <v>4.678068410462777</v>
      </c>
      <c r="E163" s="27">
        <f t="shared" si="38"/>
        <v>0.33579362173038235</v>
      </c>
      <c r="F163" s="27">
        <f t="shared" si="39"/>
        <v>3.1187122736418513</v>
      </c>
      <c r="G163" s="27">
        <f t="shared" si="40"/>
        <v>0.22386241448692154</v>
      </c>
    </row>
    <row r="164" spans="1:7" ht="12.75">
      <c r="A164" s="26" t="s">
        <v>76</v>
      </c>
      <c r="B164" s="27">
        <f t="shared" si="37"/>
      </c>
      <c r="C164" s="27">
        <f t="shared" si="38"/>
      </c>
      <c r="D164" s="27">
        <f t="shared" si="37"/>
        <v>2.839290075714402</v>
      </c>
      <c r="E164" s="27">
        <f t="shared" si="38"/>
        <v>0.22645041927867784</v>
      </c>
      <c r="F164" s="27">
        <f t="shared" si="39"/>
        <v>2.6</v>
      </c>
      <c r="G164" s="27">
        <f t="shared" si="40"/>
        <v>0.2073656</v>
      </c>
    </row>
    <row r="165" spans="1:7" ht="12.75">
      <c r="A165" s="26" t="s">
        <v>77</v>
      </c>
      <c r="B165" s="27">
        <f t="shared" si="37"/>
      </c>
      <c r="C165" s="27">
        <f t="shared" si="38"/>
      </c>
      <c r="D165" s="27">
        <f t="shared" si="37"/>
        <v>2.4196905571359193</v>
      </c>
      <c r="E165" s="27">
        <f t="shared" si="38"/>
        <v>0.21228332408242565</v>
      </c>
      <c r="F165" s="27">
        <f t="shared" si="39"/>
        <v>2.3</v>
      </c>
      <c r="G165" s="27">
        <f t="shared" si="40"/>
        <v>0.20178268000000002</v>
      </c>
    </row>
    <row r="166" spans="1:7" ht="12.75">
      <c r="A166" s="26" t="s">
        <v>78</v>
      </c>
      <c r="B166" s="27">
        <f t="shared" si="37"/>
        <v>3.5337926841625293</v>
      </c>
      <c r="C166" s="27">
        <f t="shared" si="38"/>
        <v>0.33820940318168</v>
      </c>
      <c r="D166" s="27">
        <f t="shared" si="37"/>
        <v>2.1</v>
      </c>
      <c r="E166" s="27">
        <f t="shared" si="38"/>
        <v>0.20098512</v>
      </c>
      <c r="F166" s="27">
        <f t="shared" si="39"/>
        <v>2.1</v>
      </c>
      <c r="G166" s="27">
        <f t="shared" si="40"/>
        <v>0.20098512</v>
      </c>
    </row>
    <row r="167" spans="1:7" ht="12.75">
      <c r="A167" s="26" t="s">
        <v>79</v>
      </c>
      <c r="B167" s="27">
        <f t="shared" si="37"/>
        <v>3.1187122736418513</v>
      </c>
      <c r="C167" s="27">
        <f t="shared" si="38"/>
        <v>0.32335682092555335</v>
      </c>
      <c r="D167" s="27">
        <f t="shared" si="37"/>
        <v>2</v>
      </c>
      <c r="E167" s="27">
        <f t="shared" si="38"/>
        <v>0.2073656</v>
      </c>
      <c r="F167" s="27">
        <f t="shared" si="39"/>
        <v>2</v>
      </c>
      <c r="G167" s="27">
        <f t="shared" si="40"/>
        <v>0.2073656</v>
      </c>
    </row>
    <row r="168" spans="1:7" ht="12.75">
      <c r="A168" s="26" t="s">
        <v>80</v>
      </c>
      <c r="B168" s="27">
        <f>IF(C153="","",B153)</f>
        <v>2.619718309859155</v>
      </c>
      <c r="C168" s="27">
        <f>IF(B153="","",C153)</f>
        <v>0.2925135549295775</v>
      </c>
      <c r="D168" s="27">
        <f>IF(E153="","",D153)</f>
        <v>1.8</v>
      </c>
      <c r="E168" s="27">
        <f>IF(D153="","",E153)</f>
        <v>0.20098512</v>
      </c>
      <c r="F168" s="27">
        <f t="shared" si="39"/>
        <v>1.8</v>
      </c>
      <c r="G168" s="27">
        <f t="shared" si="40"/>
        <v>0.20098512</v>
      </c>
    </row>
    <row r="178" spans="14:27" ht="12.75">
      <c r="N178" t="s">
        <v>120</v>
      </c>
      <c r="AA178" t="s">
        <v>120</v>
      </c>
    </row>
    <row r="179" spans="13:36" ht="12.75">
      <c r="M179" s="3" t="s">
        <v>121</v>
      </c>
      <c r="N179" s="28">
        <v>0</v>
      </c>
      <c r="O179" s="28">
        <v>0.05</v>
      </c>
      <c r="P179" s="28">
        <v>0.1</v>
      </c>
      <c r="Q179" s="28">
        <v>0.15</v>
      </c>
      <c r="R179" s="29">
        <v>0.2</v>
      </c>
      <c r="S179" s="29">
        <v>0.25</v>
      </c>
      <c r="T179" s="29">
        <v>0.3</v>
      </c>
      <c r="U179" s="29">
        <v>0.35</v>
      </c>
      <c r="V179" s="29">
        <v>0.4</v>
      </c>
      <c r="W179" s="15" t="s">
        <v>119</v>
      </c>
      <c r="Z179" s="3" t="s">
        <v>121</v>
      </c>
      <c r="AA179" s="28">
        <v>0</v>
      </c>
      <c r="AB179" s="28">
        <v>0.05</v>
      </c>
      <c r="AC179" s="28">
        <v>0.1</v>
      </c>
      <c r="AD179" s="28">
        <v>0.15</v>
      </c>
      <c r="AE179" s="29">
        <v>0.2</v>
      </c>
      <c r="AF179" s="29">
        <v>0.25</v>
      </c>
      <c r="AG179" s="29">
        <v>0.3</v>
      </c>
      <c r="AH179" s="29">
        <v>0.35</v>
      </c>
      <c r="AI179" s="29">
        <v>0.4</v>
      </c>
      <c r="AJ179" s="15" t="s">
        <v>119</v>
      </c>
    </row>
    <row r="180" spans="13:36" ht="12.75">
      <c r="M180" s="3">
        <v>80</v>
      </c>
      <c r="N180" s="3">
        <v>20</v>
      </c>
      <c r="O180" s="3">
        <v>15</v>
      </c>
      <c r="P180" s="3">
        <v>10</v>
      </c>
      <c r="Q180" s="3">
        <v>8</v>
      </c>
      <c r="R180" s="3">
        <v>5.5</v>
      </c>
      <c r="S180" s="3">
        <v>4</v>
      </c>
      <c r="T180" s="3">
        <v>2.7</v>
      </c>
      <c r="U180" s="3">
        <v>1.8</v>
      </c>
      <c r="V180" s="3">
        <v>1</v>
      </c>
      <c r="W180" s="15"/>
      <c r="Z180" s="3">
        <v>80</v>
      </c>
      <c r="AA180" s="3">
        <v>20</v>
      </c>
      <c r="AB180" s="3">
        <v>15</v>
      </c>
      <c r="AC180" s="3">
        <v>10</v>
      </c>
      <c r="AD180" s="3">
        <v>8</v>
      </c>
      <c r="AE180" s="3">
        <v>5.5</v>
      </c>
      <c r="AF180" s="3">
        <v>4</v>
      </c>
      <c r="AG180" s="3">
        <v>2.7</v>
      </c>
      <c r="AH180" s="3">
        <v>1.8</v>
      </c>
      <c r="AI180" s="3">
        <v>1</v>
      </c>
      <c r="AJ180" s="15"/>
    </row>
    <row r="181" spans="13:36" ht="12.75">
      <c r="M181" s="3">
        <v>90</v>
      </c>
      <c r="N181" s="3">
        <v>23</v>
      </c>
      <c r="O181" s="3">
        <v>18</v>
      </c>
      <c r="P181" s="3">
        <v>12</v>
      </c>
      <c r="Q181" s="3">
        <v>10</v>
      </c>
      <c r="R181" s="3">
        <v>7</v>
      </c>
      <c r="S181" s="3">
        <v>5</v>
      </c>
      <c r="T181" s="3">
        <v>3.4</v>
      </c>
      <c r="U181" s="3">
        <v>2.1</v>
      </c>
      <c r="V181" s="3">
        <v>1.1</v>
      </c>
      <c r="W181" s="15"/>
      <c r="Z181" s="3">
        <v>90</v>
      </c>
      <c r="AA181" s="3">
        <v>23</v>
      </c>
      <c r="AB181" s="3">
        <v>18</v>
      </c>
      <c r="AC181" s="3">
        <v>12</v>
      </c>
      <c r="AD181" s="3">
        <v>10</v>
      </c>
      <c r="AE181" s="3">
        <v>7</v>
      </c>
      <c r="AF181" s="3">
        <v>5</v>
      </c>
      <c r="AG181" s="3">
        <v>3.4</v>
      </c>
      <c r="AH181" s="3">
        <v>2.1</v>
      </c>
      <c r="AI181" s="3">
        <v>1.1</v>
      </c>
      <c r="AJ181" s="15"/>
    </row>
    <row r="182" spans="13:36" ht="12.75">
      <c r="M182" s="3">
        <v>100</v>
      </c>
      <c r="N182" s="3">
        <v>28</v>
      </c>
      <c r="O182" s="3">
        <v>21</v>
      </c>
      <c r="P182" s="3">
        <v>16</v>
      </c>
      <c r="Q182" s="3">
        <v>11</v>
      </c>
      <c r="R182" s="3">
        <v>10</v>
      </c>
      <c r="S182" s="3">
        <v>6</v>
      </c>
      <c r="T182" s="3">
        <v>4.4</v>
      </c>
      <c r="U182" s="3">
        <v>2.6</v>
      </c>
      <c r="V182" s="3">
        <v>1.7</v>
      </c>
      <c r="W182" s="15"/>
      <c r="Z182" s="3">
        <v>100</v>
      </c>
      <c r="AA182" s="3">
        <v>28</v>
      </c>
      <c r="AB182" s="3">
        <v>21</v>
      </c>
      <c r="AC182" s="3">
        <v>16</v>
      </c>
      <c r="AD182" s="3">
        <v>11</v>
      </c>
      <c r="AE182" s="3">
        <v>10</v>
      </c>
      <c r="AF182" s="3">
        <v>6</v>
      </c>
      <c r="AG182" s="3">
        <v>4.4</v>
      </c>
      <c r="AH182" s="3">
        <v>2.6</v>
      </c>
      <c r="AI182" s="3">
        <v>1.7</v>
      </c>
      <c r="AJ182" s="15"/>
    </row>
    <row r="183" spans="13:36" ht="12.75">
      <c r="M183" s="3">
        <v>150</v>
      </c>
      <c r="N183" s="3">
        <v>60</v>
      </c>
      <c r="O183" s="3">
        <v>45</v>
      </c>
      <c r="P183" s="3">
        <v>35</v>
      </c>
      <c r="Q183" s="3">
        <v>26</v>
      </c>
      <c r="R183" s="3">
        <v>20</v>
      </c>
      <c r="S183" s="3">
        <v>14</v>
      </c>
      <c r="T183" s="3">
        <v>11</v>
      </c>
      <c r="U183" s="3">
        <v>7</v>
      </c>
      <c r="V183" s="3">
        <v>5</v>
      </c>
      <c r="W183" s="15"/>
      <c r="Z183" s="3">
        <v>150</v>
      </c>
      <c r="AA183" s="3">
        <v>60</v>
      </c>
      <c r="AB183" s="3">
        <v>45</v>
      </c>
      <c r="AC183" s="3">
        <v>35</v>
      </c>
      <c r="AD183" s="3">
        <v>26</v>
      </c>
      <c r="AE183" s="3">
        <v>20</v>
      </c>
      <c r="AF183" s="3">
        <v>14</v>
      </c>
      <c r="AG183" s="3">
        <v>11</v>
      </c>
      <c r="AH183" s="3">
        <v>7</v>
      </c>
      <c r="AI183" s="3">
        <v>5</v>
      </c>
      <c r="AJ183" s="15"/>
    </row>
    <row r="184" spans="13:36" ht="12.75">
      <c r="M184" s="3">
        <v>200</v>
      </c>
      <c r="N184" s="3">
        <v>90</v>
      </c>
      <c r="O184" s="3">
        <v>70</v>
      </c>
      <c r="P184" s="3">
        <v>60</v>
      </c>
      <c r="Q184" s="3">
        <v>44</v>
      </c>
      <c r="R184" s="3">
        <v>31</v>
      </c>
      <c r="S184" s="3">
        <v>24</v>
      </c>
      <c r="T184" s="3">
        <v>19</v>
      </c>
      <c r="U184" s="3">
        <v>12</v>
      </c>
      <c r="V184" s="3">
        <v>9</v>
      </c>
      <c r="W184" s="15"/>
      <c r="Z184" s="3">
        <v>200</v>
      </c>
      <c r="AA184" s="3">
        <v>90</v>
      </c>
      <c r="AB184" s="3">
        <v>70</v>
      </c>
      <c r="AC184" s="3">
        <v>60</v>
      </c>
      <c r="AD184" s="3">
        <v>44</v>
      </c>
      <c r="AE184" s="3">
        <v>31</v>
      </c>
      <c r="AF184" s="3">
        <v>24</v>
      </c>
      <c r="AG184" s="3">
        <v>19</v>
      </c>
      <c r="AH184" s="3">
        <v>12</v>
      </c>
      <c r="AI184" s="3">
        <v>9</v>
      </c>
      <c r="AJ184" s="15"/>
    </row>
    <row r="185" spans="13:36" ht="12.75">
      <c r="M185" s="3">
        <v>300</v>
      </c>
      <c r="N185" s="3">
        <v>170</v>
      </c>
      <c r="O185" s="3">
        <v>120</v>
      </c>
      <c r="P185" s="3">
        <v>100</v>
      </c>
      <c r="Q185" s="3">
        <v>80</v>
      </c>
      <c r="R185" s="3">
        <v>62</v>
      </c>
      <c r="S185" s="3">
        <v>48</v>
      </c>
      <c r="T185" s="3">
        <v>35</v>
      </c>
      <c r="U185" s="3">
        <v>27</v>
      </c>
      <c r="V185" s="3">
        <v>20</v>
      </c>
      <c r="W185" s="15"/>
      <c r="Z185" s="3">
        <v>300</v>
      </c>
      <c r="AA185" s="3">
        <v>170</v>
      </c>
      <c r="AB185" s="3">
        <v>120</v>
      </c>
      <c r="AC185" s="3">
        <v>100</v>
      </c>
      <c r="AD185" s="3">
        <v>80</v>
      </c>
      <c r="AE185" s="3">
        <v>62</v>
      </c>
      <c r="AF185" s="3">
        <v>48</v>
      </c>
      <c r="AG185" s="3">
        <v>35</v>
      </c>
      <c r="AH185" s="3">
        <v>27</v>
      </c>
      <c r="AI185" s="3">
        <v>20</v>
      </c>
      <c r="AJ185" s="15"/>
    </row>
    <row r="186" spans="13:36" ht="12.75">
      <c r="M186" s="3">
        <v>400</v>
      </c>
      <c r="N186" s="3">
        <v>210</v>
      </c>
      <c r="O186" s="3">
        <v>170</v>
      </c>
      <c r="P186" s="3">
        <v>160</v>
      </c>
      <c r="Q186" s="3">
        <v>110</v>
      </c>
      <c r="R186" s="3">
        <v>92</v>
      </c>
      <c r="S186" s="3">
        <v>73</v>
      </c>
      <c r="T186" s="3">
        <v>54</v>
      </c>
      <c r="U186" s="3">
        <v>41</v>
      </c>
      <c r="V186" s="3">
        <v>30</v>
      </c>
      <c r="W186" s="15"/>
      <c r="Z186" s="3">
        <v>400</v>
      </c>
      <c r="AA186" s="3">
        <v>210</v>
      </c>
      <c r="AB186" s="3">
        <v>170</v>
      </c>
      <c r="AC186" s="3">
        <v>160</v>
      </c>
      <c r="AD186" s="3">
        <v>110</v>
      </c>
      <c r="AE186" s="3">
        <v>92</v>
      </c>
      <c r="AF186" s="3">
        <v>73</v>
      </c>
      <c r="AG186" s="3">
        <v>54</v>
      </c>
      <c r="AH186" s="3">
        <v>41</v>
      </c>
      <c r="AI186" s="3">
        <v>30</v>
      </c>
      <c r="AJ186" s="15"/>
    </row>
    <row r="187" spans="13:36" ht="12.75">
      <c r="M187" s="3">
        <v>500</v>
      </c>
      <c r="N187" s="3">
        <v>300</v>
      </c>
      <c r="O187" s="3">
        <v>220</v>
      </c>
      <c r="P187" s="3">
        <v>200</v>
      </c>
      <c r="Q187" s="3">
        <v>150</v>
      </c>
      <c r="R187" s="3">
        <v>120</v>
      </c>
      <c r="S187" s="3">
        <v>100</v>
      </c>
      <c r="T187" s="3">
        <v>78</v>
      </c>
      <c r="U187" s="3">
        <v>60</v>
      </c>
      <c r="V187" s="3">
        <v>42</v>
      </c>
      <c r="W187" s="15"/>
      <c r="Z187" s="3">
        <v>500</v>
      </c>
      <c r="AA187" s="3">
        <v>300</v>
      </c>
      <c r="AB187" s="3">
        <v>220</v>
      </c>
      <c r="AC187" s="3">
        <v>200</v>
      </c>
      <c r="AD187" s="3">
        <v>150</v>
      </c>
      <c r="AE187" s="3">
        <v>120</v>
      </c>
      <c r="AF187" s="3">
        <v>100</v>
      </c>
      <c r="AG187" s="3">
        <v>78</v>
      </c>
      <c r="AH187" s="3">
        <v>60</v>
      </c>
      <c r="AI187" s="3">
        <v>42</v>
      </c>
      <c r="AJ187" s="15"/>
    </row>
    <row r="188" spans="13:36" ht="12.75">
      <c r="M188" s="3">
        <v>600</v>
      </c>
      <c r="N188" s="3">
        <v>340</v>
      </c>
      <c r="O188" s="3">
        <v>300</v>
      </c>
      <c r="P188" s="3">
        <v>240</v>
      </c>
      <c r="Q188" s="3">
        <v>200</v>
      </c>
      <c r="R188" s="3">
        <v>160</v>
      </c>
      <c r="S188" s="3">
        <v>120</v>
      </c>
      <c r="T188" s="3">
        <v>98</v>
      </c>
      <c r="U188" s="3">
        <v>75</v>
      </c>
      <c r="V188" s="3">
        <v>53</v>
      </c>
      <c r="W188" s="15"/>
      <c r="Z188" s="3">
        <v>600</v>
      </c>
      <c r="AA188" s="3">
        <v>340</v>
      </c>
      <c r="AB188" s="3">
        <v>300</v>
      </c>
      <c r="AC188" s="3">
        <v>240</v>
      </c>
      <c r="AD188" s="3">
        <v>200</v>
      </c>
      <c r="AE188" s="3">
        <v>160</v>
      </c>
      <c r="AF188" s="3">
        <v>120</v>
      </c>
      <c r="AG188" s="3">
        <v>98</v>
      </c>
      <c r="AH188" s="3">
        <v>75</v>
      </c>
      <c r="AI188" s="3">
        <v>53</v>
      </c>
      <c r="AJ188" s="15"/>
    </row>
    <row r="189" spans="13:36" ht="12.75">
      <c r="M189" s="3">
        <v>700</v>
      </c>
      <c r="N189" s="3">
        <v>400</v>
      </c>
      <c r="O189" s="3">
        <v>320</v>
      </c>
      <c r="P189" s="3">
        <v>300</v>
      </c>
      <c r="Q189" s="3">
        <v>220</v>
      </c>
      <c r="R189" s="3">
        <v>180</v>
      </c>
      <c r="S189" s="3">
        <v>150</v>
      </c>
      <c r="T189" s="3">
        <v>110</v>
      </c>
      <c r="U189" s="3">
        <v>90</v>
      </c>
      <c r="V189" s="3">
        <v>67</v>
      </c>
      <c r="W189" s="15"/>
      <c r="Z189" s="3">
        <v>700</v>
      </c>
      <c r="AA189" s="3">
        <v>400</v>
      </c>
      <c r="AB189" s="3">
        <v>320</v>
      </c>
      <c r="AC189" s="3">
        <v>300</v>
      </c>
      <c r="AD189" s="3">
        <v>220</v>
      </c>
      <c r="AE189" s="3">
        <v>180</v>
      </c>
      <c r="AF189" s="3">
        <v>150</v>
      </c>
      <c r="AG189" s="3">
        <v>110</v>
      </c>
      <c r="AH189" s="3">
        <v>90</v>
      </c>
      <c r="AI189" s="3">
        <v>67</v>
      </c>
      <c r="AJ189" s="15"/>
    </row>
    <row r="190" spans="13:36" ht="12.75">
      <c r="M190" s="3">
        <v>800</v>
      </c>
      <c r="N190" s="3">
        <v>450</v>
      </c>
      <c r="O190" s="3">
        <v>390</v>
      </c>
      <c r="P190" s="3">
        <v>310</v>
      </c>
      <c r="Q190" s="3">
        <v>260</v>
      </c>
      <c r="R190" s="3">
        <v>210</v>
      </c>
      <c r="S190" s="3">
        <v>160</v>
      </c>
      <c r="T190" s="3">
        <v>130</v>
      </c>
      <c r="U190" s="3">
        <v>110</v>
      </c>
      <c r="V190" s="3">
        <v>80</v>
      </c>
      <c r="W190" s="15"/>
      <c r="Z190" s="3">
        <v>800</v>
      </c>
      <c r="AA190" s="3">
        <v>450</v>
      </c>
      <c r="AB190" s="3">
        <v>390</v>
      </c>
      <c r="AC190" s="3">
        <v>310</v>
      </c>
      <c r="AD190" s="3">
        <v>260</v>
      </c>
      <c r="AE190" s="3">
        <v>210</v>
      </c>
      <c r="AF190" s="3">
        <v>160</v>
      </c>
      <c r="AG190" s="3">
        <v>130</v>
      </c>
      <c r="AH190" s="3">
        <v>110</v>
      </c>
      <c r="AI190" s="3">
        <v>80</v>
      </c>
      <c r="AJ190" s="15"/>
    </row>
    <row r="191" spans="13:36" ht="12.75">
      <c r="M191" s="3">
        <v>900</v>
      </c>
      <c r="N191" s="3">
        <v>500</v>
      </c>
      <c r="O191" s="3">
        <v>410</v>
      </c>
      <c r="P191" s="3">
        <v>370</v>
      </c>
      <c r="Q191" s="3">
        <v>300</v>
      </c>
      <c r="R191" s="3">
        <v>240</v>
      </c>
      <c r="S191" s="3">
        <v>200</v>
      </c>
      <c r="T191" s="3">
        <v>160</v>
      </c>
      <c r="U191" s="3">
        <v>120</v>
      </c>
      <c r="V191" s="3">
        <v>91</v>
      </c>
      <c r="W191" s="15"/>
      <c r="Z191" s="3">
        <v>900</v>
      </c>
      <c r="AA191" s="3">
        <v>500</v>
      </c>
      <c r="AB191" s="3">
        <v>410</v>
      </c>
      <c r="AC191" s="3">
        <v>370</v>
      </c>
      <c r="AD191" s="3">
        <v>300</v>
      </c>
      <c r="AE191" s="3">
        <v>240</v>
      </c>
      <c r="AF191" s="3">
        <v>200</v>
      </c>
      <c r="AG191" s="3">
        <v>160</v>
      </c>
      <c r="AH191" s="3">
        <v>120</v>
      </c>
      <c r="AI191" s="3">
        <v>91</v>
      </c>
      <c r="AJ191" s="15"/>
    </row>
    <row r="192" spans="13:36" ht="12.75">
      <c r="M192" s="3">
        <v>1000</v>
      </c>
      <c r="N192" s="3">
        <v>550</v>
      </c>
      <c r="O192" s="3">
        <v>480</v>
      </c>
      <c r="P192" s="3">
        <v>400</v>
      </c>
      <c r="Q192" s="3">
        <v>310</v>
      </c>
      <c r="R192" s="3">
        <v>260</v>
      </c>
      <c r="S192" s="3">
        <v>210</v>
      </c>
      <c r="T192" s="3">
        <v>180</v>
      </c>
      <c r="U192" s="3">
        <v>130</v>
      </c>
      <c r="V192" s="3">
        <v>100</v>
      </c>
      <c r="W192" s="15"/>
      <c r="Z192" s="3">
        <v>1000</v>
      </c>
      <c r="AA192" s="3">
        <v>550</v>
      </c>
      <c r="AB192" s="3">
        <v>480</v>
      </c>
      <c r="AC192" s="3">
        <v>400</v>
      </c>
      <c r="AD192" s="3">
        <v>310</v>
      </c>
      <c r="AE192" s="3">
        <v>260</v>
      </c>
      <c r="AF192" s="3">
        <v>210</v>
      </c>
      <c r="AG192" s="3">
        <v>180</v>
      </c>
      <c r="AH192" s="3">
        <v>130</v>
      </c>
      <c r="AI192" s="3">
        <v>100</v>
      </c>
      <c r="AJ192" s="15"/>
    </row>
    <row r="193" spans="13:36" ht="12.75">
      <c r="M193" s="3">
        <v>1100</v>
      </c>
      <c r="N193" s="3">
        <f>(N$198-N$192)/($M$198-$M$192)*($M193-$M$192)+N$192</f>
        <v>615</v>
      </c>
      <c r="O193" s="3">
        <f aca="true" t="shared" si="41" ref="O193:V193">(O$198-O$192)/($M$198-$M$192)*($M193-$M$192)+O$192</f>
        <v>532</v>
      </c>
      <c r="P193" s="3">
        <f t="shared" si="41"/>
        <v>445</v>
      </c>
      <c r="Q193" s="3">
        <f t="shared" si="41"/>
        <v>350</v>
      </c>
      <c r="R193" s="3">
        <f t="shared" si="41"/>
        <v>294</v>
      </c>
      <c r="S193" s="3">
        <f t="shared" si="41"/>
        <v>239</v>
      </c>
      <c r="T193" s="3">
        <f t="shared" si="41"/>
        <v>202</v>
      </c>
      <c r="U193" s="3">
        <f t="shared" si="41"/>
        <v>148</v>
      </c>
      <c r="V193" s="3">
        <f t="shared" si="41"/>
        <v>119</v>
      </c>
      <c r="W193" s="15"/>
      <c r="Z193" s="3">
        <v>1100</v>
      </c>
      <c r="AA193" s="3">
        <f>(AA$198-AA$192)/($M$198-$M$192)*($M193-$M$192)+AA$192</f>
        <v>615</v>
      </c>
      <c r="AB193" s="3">
        <f aca="true" t="shared" si="42" ref="AB193:AI193">(AB$198-AB$192)/($M$198-$M$192)*($M193-$M$192)+AB$192</f>
        <v>532</v>
      </c>
      <c r="AC193" s="3">
        <f t="shared" si="42"/>
        <v>445</v>
      </c>
      <c r="AD193" s="3">
        <f t="shared" si="42"/>
        <v>350</v>
      </c>
      <c r="AE193" s="3">
        <f t="shared" si="42"/>
        <v>294</v>
      </c>
      <c r="AF193" s="3">
        <f t="shared" si="42"/>
        <v>239</v>
      </c>
      <c r="AG193" s="3">
        <f t="shared" si="42"/>
        <v>202</v>
      </c>
      <c r="AH193" s="3">
        <f t="shared" si="42"/>
        <v>148</v>
      </c>
      <c r="AI193" s="3">
        <f t="shared" si="42"/>
        <v>119</v>
      </c>
      <c r="AJ193" s="15"/>
    </row>
    <row r="194" spans="13:36" ht="12.75">
      <c r="M194" s="3">
        <v>1200</v>
      </c>
      <c r="N194" s="3">
        <f aca="true" t="shared" si="43" ref="N194:V197">(N$198-N$192)/($M$198-$M$192)*($M194-$M$192)+N$192</f>
        <v>680</v>
      </c>
      <c r="O194" s="3">
        <f t="shared" si="43"/>
        <v>584</v>
      </c>
      <c r="P194" s="3">
        <f t="shared" si="43"/>
        <v>490</v>
      </c>
      <c r="Q194" s="3">
        <f t="shared" si="43"/>
        <v>390</v>
      </c>
      <c r="R194" s="3">
        <f t="shared" si="43"/>
        <v>328</v>
      </c>
      <c r="S194" s="3">
        <f t="shared" si="43"/>
        <v>268</v>
      </c>
      <c r="T194" s="3">
        <f t="shared" si="43"/>
        <v>224</v>
      </c>
      <c r="U194" s="3">
        <f t="shared" si="43"/>
        <v>166</v>
      </c>
      <c r="V194" s="3">
        <f t="shared" si="43"/>
        <v>138</v>
      </c>
      <c r="W194" s="15"/>
      <c r="Z194" s="3">
        <v>1200</v>
      </c>
      <c r="AA194" s="3">
        <f aca="true" t="shared" si="44" ref="AA194:AI197">(AA$198-AA$192)/($M$198-$M$192)*($M194-$M$192)+AA$192</f>
        <v>680</v>
      </c>
      <c r="AB194" s="3">
        <f t="shared" si="44"/>
        <v>584</v>
      </c>
      <c r="AC194" s="3">
        <f t="shared" si="44"/>
        <v>490</v>
      </c>
      <c r="AD194" s="3">
        <f t="shared" si="44"/>
        <v>390</v>
      </c>
      <c r="AE194" s="3">
        <f t="shared" si="44"/>
        <v>328</v>
      </c>
      <c r="AF194" s="3">
        <f t="shared" si="44"/>
        <v>268</v>
      </c>
      <c r="AG194" s="3">
        <f t="shared" si="44"/>
        <v>224</v>
      </c>
      <c r="AH194" s="3">
        <f t="shared" si="44"/>
        <v>166</v>
      </c>
      <c r="AI194" s="3">
        <f t="shared" si="44"/>
        <v>138</v>
      </c>
      <c r="AJ194" s="15"/>
    </row>
    <row r="195" spans="13:36" ht="12.75">
      <c r="M195" s="3">
        <v>1300</v>
      </c>
      <c r="N195" s="3">
        <f t="shared" si="43"/>
        <v>745</v>
      </c>
      <c r="O195" s="3">
        <f t="shared" si="43"/>
        <v>636</v>
      </c>
      <c r="P195" s="3">
        <f t="shared" si="43"/>
        <v>535</v>
      </c>
      <c r="Q195" s="3">
        <f t="shared" si="43"/>
        <v>430</v>
      </c>
      <c r="R195" s="3">
        <f t="shared" si="43"/>
        <v>362</v>
      </c>
      <c r="S195" s="3">
        <f t="shared" si="43"/>
        <v>297</v>
      </c>
      <c r="T195" s="3">
        <f t="shared" si="43"/>
        <v>246</v>
      </c>
      <c r="U195" s="3">
        <f t="shared" si="43"/>
        <v>184</v>
      </c>
      <c r="V195" s="3">
        <f t="shared" si="43"/>
        <v>157</v>
      </c>
      <c r="W195" s="15"/>
      <c r="Z195" s="3">
        <v>1300</v>
      </c>
      <c r="AA195" s="3">
        <f t="shared" si="44"/>
        <v>745</v>
      </c>
      <c r="AB195" s="3">
        <f t="shared" si="44"/>
        <v>636</v>
      </c>
      <c r="AC195" s="3">
        <f t="shared" si="44"/>
        <v>535</v>
      </c>
      <c r="AD195" s="3">
        <f t="shared" si="44"/>
        <v>430</v>
      </c>
      <c r="AE195" s="3">
        <f t="shared" si="44"/>
        <v>362</v>
      </c>
      <c r="AF195" s="3">
        <f t="shared" si="44"/>
        <v>297</v>
      </c>
      <c r="AG195" s="3">
        <f t="shared" si="44"/>
        <v>246</v>
      </c>
      <c r="AH195" s="3">
        <f t="shared" si="44"/>
        <v>184</v>
      </c>
      <c r="AI195" s="3">
        <f t="shared" si="44"/>
        <v>157</v>
      </c>
      <c r="AJ195" s="15"/>
    </row>
    <row r="196" spans="13:36" ht="12.75">
      <c r="M196" s="3">
        <v>1500</v>
      </c>
      <c r="N196" s="3">
        <f t="shared" si="43"/>
        <v>875</v>
      </c>
      <c r="O196" s="3">
        <f t="shared" si="43"/>
        <v>740</v>
      </c>
      <c r="P196" s="3">
        <f t="shared" si="43"/>
        <v>625</v>
      </c>
      <c r="Q196" s="3">
        <f t="shared" si="43"/>
        <v>510</v>
      </c>
      <c r="R196" s="3">
        <f t="shared" si="43"/>
        <v>430</v>
      </c>
      <c r="S196" s="3">
        <f t="shared" si="43"/>
        <v>355</v>
      </c>
      <c r="T196" s="3">
        <f t="shared" si="43"/>
        <v>290</v>
      </c>
      <c r="U196" s="3">
        <f t="shared" si="43"/>
        <v>220</v>
      </c>
      <c r="V196" s="3">
        <f t="shared" si="43"/>
        <v>195</v>
      </c>
      <c r="W196" s="15"/>
      <c r="Z196" s="3">
        <v>1500</v>
      </c>
      <c r="AA196" s="3">
        <f t="shared" si="44"/>
        <v>875</v>
      </c>
      <c r="AB196" s="3">
        <f t="shared" si="44"/>
        <v>740</v>
      </c>
      <c r="AC196" s="3">
        <f t="shared" si="44"/>
        <v>625</v>
      </c>
      <c r="AD196" s="3">
        <f t="shared" si="44"/>
        <v>510</v>
      </c>
      <c r="AE196" s="3">
        <f t="shared" si="44"/>
        <v>430</v>
      </c>
      <c r="AF196" s="3">
        <f t="shared" si="44"/>
        <v>355</v>
      </c>
      <c r="AG196" s="3">
        <f t="shared" si="44"/>
        <v>290</v>
      </c>
      <c r="AH196" s="3">
        <f t="shared" si="44"/>
        <v>220</v>
      </c>
      <c r="AI196" s="3">
        <f t="shared" si="44"/>
        <v>195</v>
      </c>
      <c r="AJ196" s="15"/>
    </row>
    <row r="197" spans="13:36" ht="12.75">
      <c r="M197" s="3">
        <v>1800</v>
      </c>
      <c r="N197" s="3">
        <f t="shared" si="43"/>
        <v>1070</v>
      </c>
      <c r="O197" s="3">
        <f t="shared" si="43"/>
        <v>896</v>
      </c>
      <c r="P197" s="3">
        <f t="shared" si="43"/>
        <v>760</v>
      </c>
      <c r="Q197" s="3">
        <f t="shared" si="43"/>
        <v>630</v>
      </c>
      <c r="R197" s="3">
        <f t="shared" si="43"/>
        <v>532</v>
      </c>
      <c r="S197" s="3">
        <f t="shared" si="43"/>
        <v>442</v>
      </c>
      <c r="T197" s="3">
        <f t="shared" si="43"/>
        <v>356</v>
      </c>
      <c r="U197" s="3">
        <f t="shared" si="43"/>
        <v>274</v>
      </c>
      <c r="V197" s="3">
        <f t="shared" si="43"/>
        <v>252</v>
      </c>
      <c r="W197" s="15"/>
      <c r="Z197" s="3">
        <v>1800</v>
      </c>
      <c r="AA197" s="3">
        <f t="shared" si="44"/>
        <v>1070</v>
      </c>
      <c r="AB197" s="3">
        <f t="shared" si="44"/>
        <v>896</v>
      </c>
      <c r="AC197" s="3">
        <f t="shared" si="44"/>
        <v>760</v>
      </c>
      <c r="AD197" s="3">
        <f t="shared" si="44"/>
        <v>630</v>
      </c>
      <c r="AE197" s="3">
        <f t="shared" si="44"/>
        <v>532</v>
      </c>
      <c r="AF197" s="3">
        <f t="shared" si="44"/>
        <v>442</v>
      </c>
      <c r="AG197" s="3">
        <f t="shared" si="44"/>
        <v>356</v>
      </c>
      <c r="AH197" s="3">
        <f t="shared" si="44"/>
        <v>274</v>
      </c>
      <c r="AI197" s="3">
        <f t="shared" si="44"/>
        <v>252</v>
      </c>
      <c r="AJ197" s="15"/>
    </row>
    <row r="198" spans="13:36" ht="12.75">
      <c r="M198" s="3">
        <v>2000</v>
      </c>
      <c r="N198" s="3">
        <v>1200</v>
      </c>
      <c r="O198" s="3">
        <v>1000</v>
      </c>
      <c r="P198" s="3">
        <v>850</v>
      </c>
      <c r="Q198" s="3">
        <v>710</v>
      </c>
      <c r="R198" s="3">
        <v>600</v>
      </c>
      <c r="S198" s="3">
        <v>500</v>
      </c>
      <c r="T198" s="3">
        <v>400</v>
      </c>
      <c r="U198" s="3">
        <v>310</v>
      </c>
      <c r="V198" s="3">
        <v>290</v>
      </c>
      <c r="W198" s="15"/>
      <c r="Z198" s="3">
        <v>2000</v>
      </c>
      <c r="AA198" s="3">
        <v>1200</v>
      </c>
      <c r="AB198" s="3">
        <v>1000</v>
      </c>
      <c r="AC198" s="3">
        <v>850</v>
      </c>
      <c r="AD198" s="3">
        <v>710</v>
      </c>
      <c r="AE198" s="3">
        <v>600</v>
      </c>
      <c r="AF198" s="3">
        <v>500</v>
      </c>
      <c r="AG198" s="3">
        <v>400</v>
      </c>
      <c r="AH198" s="3">
        <v>310</v>
      </c>
      <c r="AI198" s="3">
        <v>290</v>
      </c>
      <c r="AJ198" s="15"/>
    </row>
    <row r="199" spans="23:36" ht="12.75">
      <c r="W199" s="15"/>
      <c r="AJ199" s="15"/>
    </row>
    <row r="200" spans="13:27" ht="12.75">
      <c r="M200" t="s">
        <v>122</v>
      </c>
      <c r="N200" s="7">
        <f>'Classificador Espiral'!C22*100+0.0001</f>
        <v>8.921085556499575</v>
      </c>
      <c r="Q200" t="s">
        <v>211</v>
      </c>
      <c r="R200">
        <f>W287</f>
        <v>126.12431401166073</v>
      </c>
      <c r="Z200" t="s">
        <v>122</v>
      </c>
      <c r="AA200" s="7">
        <f>40%*100</f>
        <v>40</v>
      </c>
    </row>
    <row r="201" spans="13:15" ht="12.75">
      <c r="M201" t="s">
        <v>118</v>
      </c>
      <c r="N201">
        <f>'Classificador Espiral'!D40*1000+0.0001</f>
        <v>346.4102615137755</v>
      </c>
      <c r="O201" t="s">
        <v>210</v>
      </c>
    </row>
    <row r="204" spans="13:35" ht="12.75">
      <c r="M204" s="3" t="s">
        <v>121</v>
      </c>
      <c r="N204" s="28">
        <v>0</v>
      </c>
      <c r="O204" s="28">
        <v>5</v>
      </c>
      <c r="P204" s="28">
        <v>10</v>
      </c>
      <c r="Q204" s="28">
        <v>15</v>
      </c>
      <c r="R204" s="28">
        <v>20</v>
      </c>
      <c r="S204" s="28">
        <v>25</v>
      </c>
      <c r="T204" s="28">
        <v>30</v>
      </c>
      <c r="U204" s="28">
        <v>35</v>
      </c>
      <c r="V204" s="28">
        <v>40</v>
      </c>
      <c r="Z204" s="3" t="s">
        <v>121</v>
      </c>
      <c r="AA204" s="28">
        <v>0</v>
      </c>
      <c r="AB204" s="28">
        <v>5</v>
      </c>
      <c r="AC204" s="28">
        <v>10</v>
      </c>
      <c r="AD204" s="28">
        <v>15</v>
      </c>
      <c r="AE204" s="28">
        <v>20</v>
      </c>
      <c r="AF204" s="28">
        <v>25</v>
      </c>
      <c r="AG204" s="28">
        <v>30</v>
      </c>
      <c r="AH204" s="28">
        <v>35</v>
      </c>
      <c r="AI204" s="28">
        <v>40</v>
      </c>
    </row>
    <row r="205" spans="13:35" ht="12.75">
      <c r="M205" s="3">
        <v>80</v>
      </c>
      <c r="N205" s="3">
        <f aca="true" t="shared" si="45" ref="N205:N217">IF(N226=TRUE,IF($N$201-$M205=0,1/($N$200-N$204)^2,1/($N$201-$M205)^2),1/(($N$201-$M205)^2*($N$200-N$204)^2))</f>
        <v>1.7703645043147137E-07</v>
      </c>
      <c r="O205" s="3">
        <f aca="true" t="shared" si="46" ref="O205:V205">IF(O226=TRUE,IF($N$201-$M205=0,1/($N$200-O$204)^2,1/($N$201-$M205)^2),1/(($N$201-$M205)^2*($N$200-O$204)^2))</f>
        <v>9.16400811783861E-07</v>
      </c>
      <c r="P205" s="3">
        <f t="shared" si="46"/>
        <v>1.2103865474147713E-05</v>
      </c>
      <c r="Q205" s="3">
        <f t="shared" si="46"/>
        <v>3.8128176923307043E-07</v>
      </c>
      <c r="R205" s="3">
        <f t="shared" si="46"/>
        <v>1.1478990201719134E-07</v>
      </c>
      <c r="S205" s="3">
        <f t="shared" si="46"/>
        <v>5.449851312719261E-08</v>
      </c>
      <c r="T205" s="3">
        <f t="shared" si="46"/>
        <v>3.1710392681208146E-08</v>
      </c>
      <c r="U205" s="3">
        <f t="shared" si="46"/>
        <v>2.0716628739267053E-08</v>
      </c>
      <c r="V205" s="3">
        <f t="shared" si="46"/>
        <v>1.4587014695732193E-08</v>
      </c>
      <c r="Z205" s="3">
        <v>80</v>
      </c>
      <c r="AA205" s="3">
        <f aca="true" t="shared" si="47" ref="AA205:AA217">IF(AA226=TRUE,IF($N$201-$M205=0,1/($AA$200-AA$204)^2,1/($N$201-$M205)^2),1/(($N$201-$M205)^2*($AA$200-AA$204)^2))</f>
        <v>8.805988615121746E-09</v>
      </c>
      <c r="AB205" s="3">
        <f aca="true" t="shared" si="48" ref="AB205:AI205">IF(AB226=TRUE,IF($N$201-$M205=0,1/($AA$200-AB$204)^2,1/($N$201-$M205)^2),1/(($N$201-$M205)^2*($AA$200-AB$204)^2))</f>
        <v>1.1501699415669219E-08</v>
      </c>
      <c r="AC205" s="3">
        <f t="shared" si="48"/>
        <v>1.565509087132755E-08</v>
      </c>
      <c r="AD205" s="3">
        <f t="shared" si="48"/>
        <v>2.254333085471167E-08</v>
      </c>
      <c r="AE205" s="3">
        <f t="shared" si="48"/>
        <v>3.5223954460486984E-08</v>
      </c>
      <c r="AF205" s="3">
        <f t="shared" si="48"/>
        <v>6.26203634853102E-08</v>
      </c>
      <c r="AG205" s="3">
        <f t="shared" si="48"/>
        <v>1.4089581784194793E-07</v>
      </c>
      <c r="AH205" s="3">
        <f t="shared" si="48"/>
        <v>5.635832713677917E-07</v>
      </c>
      <c r="AI205" s="3">
        <f t="shared" si="48"/>
        <v>1.4089581784194794E-05</v>
      </c>
    </row>
    <row r="206" spans="13:35" ht="12.75">
      <c r="M206" s="3">
        <v>90</v>
      </c>
      <c r="N206" s="3">
        <f t="shared" si="45"/>
        <v>1.9111456572066594E-07</v>
      </c>
      <c r="O206" s="3">
        <f aca="true" t="shared" si="49" ref="O206:V216">IF(O227=TRUE,IF($N$201-$M206=0,1/($N$200-O$204)^2,1/($N$201-$M206)^2),1/(($N$201-$M206)^2*($N$200-O$204)^2))</f>
        <v>9.892739192595366E-07</v>
      </c>
      <c r="P206" s="3">
        <f t="shared" si="49"/>
        <v>1.3066376940993421E-05</v>
      </c>
      <c r="Q206" s="3">
        <f t="shared" si="49"/>
        <v>4.116016761892315E-07</v>
      </c>
      <c r="R206" s="3">
        <f t="shared" si="49"/>
        <v>1.2391810963033996E-07</v>
      </c>
      <c r="S206" s="3">
        <f t="shared" si="49"/>
        <v>5.883228930167194E-08</v>
      </c>
      <c r="T206" s="3">
        <f t="shared" si="49"/>
        <v>3.4232034766460436E-08</v>
      </c>
      <c r="U206" s="3">
        <f t="shared" si="49"/>
        <v>2.2364035739825604E-08</v>
      </c>
      <c r="V206" s="3">
        <f t="shared" si="49"/>
        <v>1.574698866782211E-08</v>
      </c>
      <c r="Z206" s="3">
        <v>90</v>
      </c>
      <c r="AA206" s="3">
        <f t="shared" si="47"/>
        <v>9.506249621580452E-09</v>
      </c>
      <c r="AB206" s="3">
        <f aca="true" t="shared" si="50" ref="AB206:AI216">IF(AB227=TRUE,IF($N$201-$M206=0,1/($AA$200-AB$204)^2,1/($N$201-$M206)^2),1/(($N$201-$M206)^2*($AA$200-AB$204)^2))</f>
        <v>1.2416326036349977E-08</v>
      </c>
      <c r="AC206" s="3">
        <f t="shared" si="50"/>
        <v>1.6899999327254136E-08</v>
      </c>
      <c r="AD206" s="3">
        <f t="shared" si="50"/>
        <v>2.4335999031245957E-08</v>
      </c>
      <c r="AE206" s="3">
        <f t="shared" si="50"/>
        <v>3.802499848632181E-08</v>
      </c>
      <c r="AF206" s="3">
        <f t="shared" si="50"/>
        <v>6.759999730901654E-08</v>
      </c>
      <c r="AG206" s="3">
        <f t="shared" si="50"/>
        <v>1.5209999394528723E-07</v>
      </c>
      <c r="AH206" s="3">
        <f t="shared" si="50"/>
        <v>6.083999757811489E-07</v>
      </c>
      <c r="AI206" s="3">
        <f t="shared" si="50"/>
        <v>1.5209999394528722E-05</v>
      </c>
    </row>
    <row r="207" spans="13:35" ht="12.75">
      <c r="M207" s="3">
        <v>100</v>
      </c>
      <c r="N207" s="3">
        <f t="shared" si="45"/>
        <v>2.0694122322277609E-07</v>
      </c>
      <c r="O207" s="3">
        <f t="shared" si="49"/>
        <v>1.0711980752591113E-06</v>
      </c>
      <c r="P207" s="3">
        <f t="shared" si="49"/>
        <v>1.4148435086895435E-05</v>
      </c>
      <c r="Q207" s="3">
        <f t="shared" si="49"/>
        <v>4.456874023701586E-07</v>
      </c>
      <c r="R207" s="3">
        <f t="shared" si="49"/>
        <v>1.3418006675554852E-07</v>
      </c>
      <c r="S207" s="3">
        <f t="shared" si="49"/>
        <v>6.370433288103756E-08</v>
      </c>
      <c r="T207" s="3">
        <f t="shared" si="49"/>
        <v>3.7066872016076264E-08</v>
      </c>
      <c r="U207" s="3">
        <f t="shared" si="49"/>
        <v>2.4216055405016914E-08</v>
      </c>
      <c r="V207" s="3">
        <f t="shared" si="49"/>
        <v>1.7051034727291456E-08</v>
      </c>
      <c r="Z207" s="3">
        <v>100</v>
      </c>
      <c r="AA207" s="3">
        <f t="shared" si="47"/>
        <v>1.029348504930928E-08</v>
      </c>
      <c r="AB207" s="3">
        <f t="shared" si="50"/>
        <v>1.3444551901138652E-08</v>
      </c>
      <c r="AC207" s="3">
        <f t="shared" si="50"/>
        <v>1.829952897654983E-08</v>
      </c>
      <c r="AD207" s="3">
        <f t="shared" si="50"/>
        <v>2.6351321726231757E-08</v>
      </c>
      <c r="AE207" s="3">
        <f t="shared" si="50"/>
        <v>4.117394019723712E-08</v>
      </c>
      <c r="AF207" s="3">
        <f t="shared" si="50"/>
        <v>7.319811590619932E-08</v>
      </c>
      <c r="AG207" s="3">
        <f t="shared" si="50"/>
        <v>1.6469576078894847E-07</v>
      </c>
      <c r="AH207" s="3">
        <f t="shared" si="50"/>
        <v>6.587830431557939E-07</v>
      </c>
      <c r="AI207" s="3">
        <f t="shared" si="50"/>
        <v>1.6469576078894848E-05</v>
      </c>
    </row>
    <row r="208" spans="13:35" ht="12.75">
      <c r="M208" s="3">
        <v>150</v>
      </c>
      <c r="N208" s="3">
        <f t="shared" si="45"/>
        <v>3.2571386299691416E-07</v>
      </c>
      <c r="O208" s="3">
        <f t="shared" si="49"/>
        <v>1.686005609196108E-06</v>
      </c>
      <c r="P208" s="3">
        <f t="shared" si="49"/>
        <v>2.2268842213969268E-05</v>
      </c>
      <c r="Q208" s="3">
        <f t="shared" si="49"/>
        <v>7.014869403703576E-07</v>
      </c>
      <c r="R208" s="3">
        <f t="shared" si="49"/>
        <v>2.1119188917272913E-07</v>
      </c>
      <c r="S208" s="3">
        <f t="shared" si="49"/>
        <v>1.0026704215422068E-07</v>
      </c>
      <c r="T208" s="3">
        <f t="shared" si="49"/>
        <v>5.8341174781649947E-08</v>
      </c>
      <c r="U208" s="3">
        <f t="shared" si="49"/>
        <v>3.811471117102809E-08</v>
      </c>
      <c r="V208" s="3">
        <f t="shared" si="49"/>
        <v>2.6837371030429788E-08</v>
      </c>
      <c r="Z208" s="3">
        <v>150</v>
      </c>
      <c r="AA208" s="3">
        <f t="shared" si="47"/>
        <v>1.620136735879941E-08</v>
      </c>
      <c r="AB208" s="3">
        <f t="shared" si="50"/>
        <v>2.116096961149311E-08</v>
      </c>
      <c r="AC208" s="3">
        <f t="shared" si="50"/>
        <v>2.880243086008784E-08</v>
      </c>
      <c r="AD208" s="3">
        <f t="shared" si="50"/>
        <v>4.147550043852649E-08</v>
      </c>
      <c r="AE208" s="3">
        <f t="shared" si="50"/>
        <v>6.480546943519764E-08</v>
      </c>
      <c r="AF208" s="3">
        <f t="shared" si="50"/>
        <v>1.1520972344035136E-07</v>
      </c>
      <c r="AG208" s="3">
        <f t="shared" si="50"/>
        <v>2.5922187774079055E-07</v>
      </c>
      <c r="AH208" s="3">
        <f t="shared" si="50"/>
        <v>1.0368875109631622E-06</v>
      </c>
      <c r="AI208" s="3">
        <f t="shared" si="50"/>
        <v>2.592218777407906E-05</v>
      </c>
    </row>
    <row r="209" spans="13:35" ht="12.75">
      <c r="M209" s="3">
        <v>200</v>
      </c>
      <c r="N209" s="3">
        <f t="shared" si="45"/>
        <v>5.861672611875072E-07</v>
      </c>
      <c r="O209" s="3">
        <f t="shared" si="49"/>
        <v>3.0342008817064693E-06</v>
      </c>
      <c r="P209" s="3">
        <f t="shared" si="49"/>
        <v>4.007586944649874E-05</v>
      </c>
      <c r="Q209" s="3">
        <f t="shared" si="49"/>
        <v>1.2624230200468696E-06</v>
      </c>
      <c r="R209" s="3">
        <f t="shared" si="49"/>
        <v>3.8006908923789653E-07</v>
      </c>
      <c r="S209" s="3">
        <f t="shared" si="49"/>
        <v>1.8044444576640168E-07</v>
      </c>
      <c r="T209" s="3">
        <f t="shared" si="49"/>
        <v>1.0499303382903725E-07</v>
      </c>
      <c r="U209" s="3">
        <f t="shared" si="49"/>
        <v>6.859270788325669E-08</v>
      </c>
      <c r="V209" s="3">
        <f t="shared" si="49"/>
        <v>4.829757054132207E-08</v>
      </c>
      <c r="Z209" s="3">
        <v>200</v>
      </c>
      <c r="AA209" s="3">
        <f t="shared" si="47"/>
        <v>2.9156607105452248E-08</v>
      </c>
      <c r="AB209" s="3">
        <f t="shared" si="50"/>
        <v>3.8082099076509057E-08</v>
      </c>
      <c r="AC209" s="3">
        <f t="shared" si="50"/>
        <v>5.1833968187470655E-08</v>
      </c>
      <c r="AD209" s="3">
        <f t="shared" si="50"/>
        <v>7.464091418995776E-08</v>
      </c>
      <c r="AE209" s="3">
        <f t="shared" si="50"/>
        <v>1.1662642842180899E-07</v>
      </c>
      <c r="AF209" s="3">
        <f t="shared" si="50"/>
        <v>2.0733587274988262E-07</v>
      </c>
      <c r="AG209" s="3">
        <f t="shared" si="50"/>
        <v>4.6650571368723597E-07</v>
      </c>
      <c r="AH209" s="3">
        <f t="shared" si="50"/>
        <v>1.8660228547489439E-06</v>
      </c>
      <c r="AI209" s="3">
        <f t="shared" si="50"/>
        <v>4.66505713687236E-05</v>
      </c>
    </row>
    <row r="210" spans="13:35" ht="12.75">
      <c r="M210" s="3">
        <v>300</v>
      </c>
      <c r="N210" s="3">
        <f t="shared" si="45"/>
        <v>5.833598830820267E-06</v>
      </c>
      <c r="O210" s="3">
        <f t="shared" si="49"/>
        <v>3.0196689388857876E-05</v>
      </c>
      <c r="P210" s="3">
        <f t="shared" si="49"/>
        <v>0.00039883930855090093</v>
      </c>
      <c r="Q210" s="3">
        <f t="shared" si="49"/>
        <v>1.25637679573343E-05</v>
      </c>
      <c r="R210" s="3">
        <f t="shared" si="49"/>
        <v>3.7824879371757906E-06</v>
      </c>
      <c r="S210" s="3">
        <f t="shared" si="49"/>
        <v>1.7958022863958042E-06</v>
      </c>
      <c r="T210" s="3">
        <f t="shared" si="49"/>
        <v>1.0449018223032723E-06</v>
      </c>
      <c r="U210" s="3">
        <f t="shared" si="49"/>
        <v>6.826419129924113E-07</v>
      </c>
      <c r="V210" s="3">
        <f t="shared" si="49"/>
        <v>4.806625509424146E-07</v>
      </c>
      <c r="Z210" s="3">
        <v>300</v>
      </c>
      <c r="AA210" s="3">
        <f t="shared" si="47"/>
        <v>2.901696501719894E-07</v>
      </c>
      <c r="AB210" s="3">
        <f t="shared" si="50"/>
        <v>3.789970941021903E-07</v>
      </c>
      <c r="AC210" s="3">
        <f t="shared" si="50"/>
        <v>5.158571558613146E-07</v>
      </c>
      <c r="AD210" s="3">
        <f t="shared" si="50"/>
        <v>7.428343044402928E-07</v>
      </c>
      <c r="AE210" s="3">
        <f t="shared" si="50"/>
        <v>1.1606786006879577E-06</v>
      </c>
      <c r="AF210" s="3">
        <f t="shared" si="50"/>
        <v>2.0634286234452583E-06</v>
      </c>
      <c r="AG210" s="3">
        <f t="shared" si="50"/>
        <v>4.642714402751831E-06</v>
      </c>
      <c r="AH210" s="3">
        <f t="shared" si="50"/>
        <v>1.8570857611007323E-05</v>
      </c>
      <c r="AI210" s="3">
        <f t="shared" si="50"/>
        <v>0.00046427144027518305</v>
      </c>
    </row>
    <row r="211" spans="13:35" ht="12.75">
      <c r="M211" s="3">
        <v>400</v>
      </c>
      <c r="N211" s="3">
        <f t="shared" si="45"/>
        <v>4.375234306204824E-06</v>
      </c>
      <c r="O211" s="3">
        <f t="shared" si="49"/>
        <v>2.2647699161268003E-05</v>
      </c>
      <c r="P211" s="3">
        <f t="shared" si="49"/>
        <v>0.0002991318868578326</v>
      </c>
      <c r="Q211" s="3">
        <f t="shared" si="49"/>
        <v>9.422901741496105E-06</v>
      </c>
      <c r="R211" s="3">
        <f t="shared" si="49"/>
        <v>2.8368887654913406E-06</v>
      </c>
      <c r="S211" s="3">
        <f t="shared" si="49"/>
        <v>1.3468625454820993E-06</v>
      </c>
      <c r="T211" s="3">
        <f t="shared" si="49"/>
        <v>7.836826686476801E-07</v>
      </c>
      <c r="U211" s="3">
        <f t="shared" si="49"/>
        <v>5.119855518343419E-07</v>
      </c>
      <c r="V211" s="3">
        <f t="shared" si="49"/>
        <v>3.604998121366309E-07</v>
      </c>
      <c r="Z211" s="3">
        <v>400</v>
      </c>
      <c r="AA211" s="3">
        <f t="shared" si="47"/>
        <v>2.176289876747364E-07</v>
      </c>
      <c r="AB211" s="3">
        <f t="shared" si="50"/>
        <v>2.842501063506761E-07</v>
      </c>
      <c r="AC211" s="3">
        <f t="shared" si="50"/>
        <v>3.8689597808842026E-07</v>
      </c>
      <c r="AD211" s="3">
        <f t="shared" si="50"/>
        <v>5.571302084473252E-07</v>
      </c>
      <c r="AE211" s="3">
        <f t="shared" si="50"/>
        <v>8.705159506989456E-07</v>
      </c>
      <c r="AF211" s="3">
        <f t="shared" si="50"/>
        <v>1.547583912353681E-06</v>
      </c>
      <c r="AG211" s="3">
        <f t="shared" si="50"/>
        <v>3.4820638027957822E-06</v>
      </c>
      <c r="AH211" s="3">
        <f t="shared" si="50"/>
        <v>1.3928255211183129E-05</v>
      </c>
      <c r="AI211" s="3">
        <f t="shared" si="50"/>
        <v>0.0003482063802795783</v>
      </c>
    </row>
    <row r="212" spans="13:35" ht="12.75">
      <c r="M212" s="3">
        <v>500</v>
      </c>
      <c r="N212" s="3">
        <f t="shared" si="45"/>
        <v>5.326478633818113E-07</v>
      </c>
      <c r="O212" s="3">
        <f t="shared" si="49"/>
        <v>2.757166296592553E-06</v>
      </c>
      <c r="P212" s="3">
        <f t="shared" si="49"/>
        <v>3.6416783480197743E-05</v>
      </c>
      <c r="Q212" s="3">
        <f t="shared" si="49"/>
        <v>1.1471587869812436E-06</v>
      </c>
      <c r="R212" s="3">
        <f t="shared" si="49"/>
        <v>3.4536727266191986E-07</v>
      </c>
      <c r="S212" s="3">
        <f t="shared" si="49"/>
        <v>1.6396915157266619E-07</v>
      </c>
      <c r="T212" s="3">
        <f t="shared" si="49"/>
        <v>9.540675305835866E-08</v>
      </c>
      <c r="U212" s="3">
        <f t="shared" si="49"/>
        <v>6.232992136676513E-08</v>
      </c>
      <c r="V212" s="3">
        <f t="shared" si="49"/>
        <v>4.388781062806275E-08</v>
      </c>
      <c r="Z212" s="3">
        <v>500</v>
      </c>
      <c r="AA212" s="3">
        <f t="shared" si="47"/>
        <v>2.6494493136173583E-08</v>
      </c>
      <c r="AB212" s="3">
        <f t="shared" si="50"/>
        <v>3.4605052259492025E-08</v>
      </c>
      <c r="AC212" s="3">
        <f t="shared" si="50"/>
        <v>4.7101321130975255E-08</v>
      </c>
      <c r="AD212" s="3">
        <f t="shared" si="50"/>
        <v>6.782590242860438E-08</v>
      </c>
      <c r="AE212" s="3">
        <f t="shared" si="50"/>
        <v>1.0597797254469433E-07</v>
      </c>
      <c r="AF212" s="3">
        <f t="shared" si="50"/>
        <v>1.8840528452390102E-07</v>
      </c>
      <c r="AG212" s="3">
        <f t="shared" si="50"/>
        <v>4.2391189017877733E-07</v>
      </c>
      <c r="AH212" s="3">
        <f t="shared" si="50"/>
        <v>1.6956475607151093E-06</v>
      </c>
      <c r="AI212" s="3">
        <f t="shared" si="50"/>
        <v>4.239118901787773E-05</v>
      </c>
    </row>
    <row r="213" spans="13:35" ht="12.75">
      <c r="M213" s="3">
        <v>600</v>
      </c>
      <c r="N213" s="3">
        <f t="shared" si="45"/>
        <v>1.953895080678664E-07</v>
      </c>
      <c r="O213" s="3">
        <f t="shared" si="49"/>
        <v>1.011402473168948E-06</v>
      </c>
      <c r="P213" s="3">
        <f t="shared" si="49"/>
        <v>1.3358651932692267E-05</v>
      </c>
      <c r="Q213" s="3">
        <f t="shared" si="49"/>
        <v>4.20808580064323E-07</v>
      </c>
      <c r="R213" s="3">
        <f t="shared" si="49"/>
        <v>1.2668996939124401E-07</v>
      </c>
      <c r="S213" s="3">
        <f t="shared" si="49"/>
        <v>6.014827819016966E-08</v>
      </c>
      <c r="T213" s="3">
        <f t="shared" si="49"/>
        <v>3.49977533525983E-08</v>
      </c>
      <c r="U213" s="3">
        <f t="shared" si="49"/>
        <v>2.286428522671307E-08</v>
      </c>
      <c r="V213" s="3">
        <f t="shared" si="49"/>
        <v>1.6099224869406816E-08</v>
      </c>
      <c r="Z213" s="3">
        <v>600</v>
      </c>
      <c r="AA213" s="3">
        <f t="shared" si="47"/>
        <v>9.718889976422635E-09</v>
      </c>
      <c r="AB213" s="3">
        <f t="shared" si="50"/>
        <v>1.269406037736834E-08</v>
      </c>
      <c r="AC213" s="3">
        <f t="shared" si="50"/>
        <v>1.727802662475135E-08</v>
      </c>
      <c r="AD213" s="3">
        <f t="shared" si="50"/>
        <v>2.4880358339641948E-08</v>
      </c>
      <c r="AE213" s="3">
        <f t="shared" si="50"/>
        <v>3.887555990569054E-08</v>
      </c>
      <c r="AF213" s="3">
        <f t="shared" si="50"/>
        <v>6.91121064990054E-08</v>
      </c>
      <c r="AG213" s="3">
        <f t="shared" si="50"/>
        <v>1.5550223962276216E-07</v>
      </c>
      <c r="AH213" s="3">
        <f t="shared" si="50"/>
        <v>6.220089584910486E-07</v>
      </c>
      <c r="AI213" s="3">
        <f t="shared" si="50"/>
        <v>1.5550223962276217E-05</v>
      </c>
    </row>
    <row r="214" spans="13:35" ht="12.75">
      <c r="M214" s="3">
        <v>700</v>
      </c>
      <c r="N214" s="3">
        <f t="shared" si="45"/>
        <v>1.004998203369268E-07</v>
      </c>
      <c r="O214" s="3">
        <f t="shared" si="49"/>
        <v>5.20221212730098E-07</v>
      </c>
      <c r="P214" s="3">
        <f t="shared" si="49"/>
        <v>6.871106501341902E-06</v>
      </c>
      <c r="Q214" s="3">
        <f t="shared" si="49"/>
        <v>2.1644553543792317E-07</v>
      </c>
      <c r="R214" s="3">
        <f t="shared" si="49"/>
        <v>6.51637812501598E-08</v>
      </c>
      <c r="S214" s="3">
        <f t="shared" si="49"/>
        <v>3.093764456169222E-08</v>
      </c>
      <c r="T214" s="3">
        <f t="shared" si="49"/>
        <v>1.8001314189861837E-08</v>
      </c>
      <c r="U214" s="3">
        <f t="shared" si="49"/>
        <v>1.176038867255236E-08</v>
      </c>
      <c r="V214" s="3">
        <f t="shared" si="49"/>
        <v>8.280737399559782E-09</v>
      </c>
      <c r="Z214" s="3">
        <v>700</v>
      </c>
      <c r="AA214" s="3">
        <f t="shared" si="47"/>
        <v>4.9989720848550956E-09</v>
      </c>
      <c r="AB214" s="3">
        <f t="shared" si="50"/>
        <v>6.529269661851554E-09</v>
      </c>
      <c r="AC214" s="3">
        <f t="shared" si="50"/>
        <v>8.887061484186838E-09</v>
      </c>
      <c r="AD214" s="3">
        <f t="shared" si="50"/>
        <v>1.2797368537229046E-08</v>
      </c>
      <c r="AE214" s="3">
        <f t="shared" si="50"/>
        <v>1.9995888339420382E-08</v>
      </c>
      <c r="AF214" s="3">
        <f t="shared" si="50"/>
        <v>3.554824593674735E-08</v>
      </c>
      <c r="AG214" s="3">
        <f t="shared" si="50"/>
        <v>7.998355335768153E-08</v>
      </c>
      <c r="AH214" s="3">
        <f t="shared" si="50"/>
        <v>3.199342134307261E-07</v>
      </c>
      <c r="AI214" s="3">
        <f t="shared" si="50"/>
        <v>7.998355335768155E-06</v>
      </c>
    </row>
    <row r="215" spans="13:35" ht="12.75">
      <c r="M215" s="3">
        <v>800</v>
      </c>
      <c r="N215" s="3">
        <f t="shared" si="45"/>
        <v>6.107143842754542E-08</v>
      </c>
      <c r="O215" s="3">
        <f t="shared" si="49"/>
        <v>3.1612651301701527E-07</v>
      </c>
      <c r="P215" s="3">
        <f t="shared" si="49"/>
        <v>4.175414007895737E-06</v>
      </c>
      <c r="Q215" s="3">
        <f t="shared" si="49"/>
        <v>1.3152899324693894E-07</v>
      </c>
      <c r="R215" s="3">
        <f t="shared" si="49"/>
        <v>3.95985370021893E-08</v>
      </c>
      <c r="S215" s="3">
        <f t="shared" si="49"/>
        <v>1.8800097837074878E-08</v>
      </c>
      <c r="T215" s="3">
        <f t="shared" si="49"/>
        <v>1.0938986233760507E-08</v>
      </c>
      <c r="U215" s="3">
        <f t="shared" si="49"/>
        <v>7.1465187727891475E-09</v>
      </c>
      <c r="V215" s="3">
        <f t="shared" si="49"/>
        <v>5.032014410935931E-09</v>
      </c>
      <c r="Z215" s="3">
        <v>800</v>
      </c>
      <c r="AA215" s="3">
        <f t="shared" si="47"/>
        <v>3.037760812484473E-09</v>
      </c>
      <c r="AB215" s="3">
        <f t="shared" si="50"/>
        <v>3.967687591816455E-09</v>
      </c>
      <c r="AC215" s="3">
        <f t="shared" si="50"/>
        <v>5.400463666639063E-09</v>
      </c>
      <c r="AD215" s="3">
        <f t="shared" si="50"/>
        <v>7.77666767996025E-09</v>
      </c>
      <c r="AE215" s="3">
        <f t="shared" si="50"/>
        <v>1.2151043249937892E-08</v>
      </c>
      <c r="AF215" s="3">
        <f t="shared" si="50"/>
        <v>2.1601854666556253E-08</v>
      </c>
      <c r="AG215" s="3">
        <f t="shared" si="50"/>
        <v>4.860417299975157E-08</v>
      </c>
      <c r="AH215" s="3">
        <f t="shared" si="50"/>
        <v>1.9441669199900628E-07</v>
      </c>
      <c r="AI215" s="3">
        <f t="shared" si="50"/>
        <v>4.860417299975157E-06</v>
      </c>
    </row>
    <row r="216" spans="13:35" ht="12.75">
      <c r="M216" s="3">
        <v>900</v>
      </c>
      <c r="N216" s="3">
        <f t="shared" si="45"/>
        <v>4.1000441048759506E-08</v>
      </c>
      <c r="O216" s="3">
        <f t="shared" si="49"/>
        <v>2.1223221189199982E-07</v>
      </c>
      <c r="P216" s="3">
        <f t="shared" si="49"/>
        <v>2.8031731410419713E-06</v>
      </c>
      <c r="Q216" s="3">
        <f t="shared" si="49"/>
        <v>8.8302271449226E-08</v>
      </c>
      <c r="R216" s="3">
        <f t="shared" si="49"/>
        <v>2.6584562665927015E-08</v>
      </c>
      <c r="S216" s="3">
        <f t="shared" si="49"/>
        <v>1.2621485966707403E-08</v>
      </c>
      <c r="T216" s="3">
        <f t="shared" si="49"/>
        <v>7.343911847476617E-09</v>
      </c>
      <c r="U216" s="3">
        <f t="shared" si="49"/>
        <v>4.7978306912685445E-09</v>
      </c>
      <c r="V216" s="3">
        <f t="shared" si="49"/>
        <v>3.37825365709794E-09</v>
      </c>
      <c r="Z216" s="3">
        <v>900</v>
      </c>
      <c r="AA216" s="3">
        <f t="shared" si="47"/>
        <v>2.039407230603645E-09</v>
      </c>
      <c r="AB216" s="3">
        <f t="shared" si="50"/>
        <v>2.66371556650272E-09</v>
      </c>
      <c r="AC216" s="3">
        <f t="shared" si="50"/>
        <v>3.62561285440648E-09</v>
      </c>
      <c r="AD216" s="3">
        <f t="shared" si="50"/>
        <v>5.220882510345331E-09</v>
      </c>
      <c r="AE216" s="3">
        <f t="shared" si="50"/>
        <v>8.15762892241458E-09</v>
      </c>
      <c r="AF216" s="3">
        <f t="shared" si="50"/>
        <v>1.450245141762592E-08</v>
      </c>
      <c r="AG216" s="3">
        <f t="shared" si="50"/>
        <v>3.263051568965832E-08</v>
      </c>
      <c r="AH216" s="3">
        <f t="shared" si="50"/>
        <v>1.3052206275863328E-07</v>
      </c>
      <c r="AI216" s="3">
        <f t="shared" si="50"/>
        <v>3.263051568965832E-06</v>
      </c>
    </row>
    <row r="217" spans="13:35" ht="12.75">
      <c r="M217" s="3">
        <v>1000</v>
      </c>
      <c r="N217" s="3">
        <f t="shared" si="45"/>
        <v>2.9414003585905245E-08</v>
      </c>
      <c r="O217" s="3">
        <f aca="true" t="shared" si="51" ref="O217:V217">IF(O238=TRUE,IF($N$201-$M217=0,1/($N$200-O$204)^2,1/($N$201-$M217)^2),1/(($N$201-$M217)^2*($N$200-O$204)^2))</f>
        <v>1.522568753397534E-07</v>
      </c>
      <c r="P217" s="3">
        <f t="shared" si="51"/>
        <v>2.0110160455216973E-06</v>
      </c>
      <c r="Q217" s="3">
        <f t="shared" si="51"/>
        <v>6.334866802926003E-08</v>
      </c>
      <c r="R217" s="3">
        <f t="shared" si="51"/>
        <v>1.9071951461579667E-08</v>
      </c>
      <c r="S217" s="3">
        <f t="shared" si="51"/>
        <v>9.054742436616218E-09</v>
      </c>
      <c r="T217" s="3">
        <f t="shared" si="51"/>
        <v>5.268573798007591E-09</v>
      </c>
      <c r="U217" s="3">
        <f t="shared" si="51"/>
        <v>3.441997343143434E-09</v>
      </c>
      <c r="V217" s="3">
        <f t="shared" si="51"/>
        <v>2.423582835750562E-09</v>
      </c>
      <c r="Z217" s="3">
        <v>1000</v>
      </c>
      <c r="AA217" s="3">
        <f t="shared" si="47"/>
        <v>1.4630850317623996E-09</v>
      </c>
      <c r="AB217" s="3">
        <f aca="true" t="shared" si="52" ref="AB217:AI217">IF(AB238=TRUE,IF($N$201-$M217=0,1/($AA$200-AB$204)^2,1/($N$201-$M217)^2),1/(($N$201-$M217)^2*($AA$200-AB$204)^2))</f>
        <v>1.9109682047508894E-09</v>
      </c>
      <c r="AC217" s="3">
        <f t="shared" si="52"/>
        <v>2.6010400564664885E-09</v>
      </c>
      <c r="AD217" s="3">
        <f t="shared" si="52"/>
        <v>3.745497681311743E-09</v>
      </c>
      <c r="AE217" s="3">
        <f t="shared" si="52"/>
        <v>5.8523401270495986E-09</v>
      </c>
      <c r="AF217" s="3">
        <f t="shared" si="52"/>
        <v>1.0404160225865954E-08</v>
      </c>
      <c r="AG217" s="3">
        <f t="shared" si="52"/>
        <v>2.3409360508198394E-08</v>
      </c>
      <c r="AH217" s="3">
        <f t="shared" si="52"/>
        <v>9.363744203279358E-08</v>
      </c>
      <c r="AI217" s="3">
        <f t="shared" si="52"/>
        <v>2.3409360508198394E-06</v>
      </c>
    </row>
    <row r="218" spans="13:35" ht="12.75">
      <c r="M218" s="3">
        <v>1100</v>
      </c>
      <c r="N218" s="3">
        <f aca="true" t="shared" si="53" ref="N218:V222">IF(N239=TRUE,IF($N$201-$M218=0,1/($N$200-N$204)^2,1/($N$201-$M218)^2),1/(($N$201-$M218)^2*($N$200-N$204)^2))</f>
        <v>2.212557871654008E-08</v>
      </c>
      <c r="O218" s="3">
        <f t="shared" si="53"/>
        <v>1.1452951212933182E-07</v>
      </c>
      <c r="P218" s="3">
        <f t="shared" si="53"/>
        <v>1.5127112392390119E-06</v>
      </c>
      <c r="Q218" s="3">
        <f t="shared" si="53"/>
        <v>4.765165466087715E-08</v>
      </c>
      <c r="R218" s="3">
        <f t="shared" si="53"/>
        <v>1.4346158696445465E-08</v>
      </c>
      <c r="S218" s="3">
        <f t="shared" si="53"/>
        <v>6.811089689108106E-09</v>
      </c>
      <c r="T218" s="3">
        <f t="shared" si="53"/>
        <v>3.963086628152049E-09</v>
      </c>
      <c r="U218" s="3">
        <f t="shared" si="53"/>
        <v>2.589113139101363E-09</v>
      </c>
      <c r="V218" s="3">
        <f t="shared" si="53"/>
        <v>1.823049101488174E-09</v>
      </c>
      <c r="Z218" s="3">
        <v>1100</v>
      </c>
      <c r="AA218" s="3">
        <f aca="true" t="shared" si="54" ref="AA218:AI223">IF(AA239=TRUE,IF($N$201-$M218=0,1/($AA$200-AA$204)^2,1/($N$201-$M218)^2),1/(($N$201-$M218)^2*($AA$200-AA$204)^2))</f>
        <v>1.1005507272992417E-09</v>
      </c>
      <c r="AB218" s="3">
        <f t="shared" si="54"/>
        <v>1.4374540111663564E-09</v>
      </c>
      <c r="AC218" s="3">
        <f t="shared" si="54"/>
        <v>1.956534626309763E-09</v>
      </c>
      <c r="AD218" s="3">
        <f t="shared" si="54"/>
        <v>2.8174098618860585E-09</v>
      </c>
      <c r="AE218" s="3">
        <f t="shared" si="54"/>
        <v>4.402202909196967E-09</v>
      </c>
      <c r="AF218" s="3">
        <f t="shared" si="54"/>
        <v>7.826138505239052E-09</v>
      </c>
      <c r="AG218" s="3">
        <f t="shared" si="54"/>
        <v>1.7608811636787867E-08</v>
      </c>
      <c r="AH218" s="3">
        <f t="shared" si="54"/>
        <v>7.043524654715147E-08</v>
      </c>
      <c r="AI218" s="3">
        <f t="shared" si="54"/>
        <v>1.7608811636787865E-06</v>
      </c>
    </row>
    <row r="219" spans="13:35" ht="12.75">
      <c r="M219" s="3">
        <v>1200</v>
      </c>
      <c r="N219" s="3">
        <f t="shared" si="53"/>
        <v>1.7245119972914803E-08</v>
      </c>
      <c r="O219" s="3">
        <f t="shared" si="53"/>
        <v>8.926659964077013E-08</v>
      </c>
      <c r="P219" s="3">
        <f t="shared" si="53"/>
        <v>1.1790374904658204E-06</v>
      </c>
      <c r="Q219" s="3">
        <f t="shared" si="53"/>
        <v>3.714065571177226E-08</v>
      </c>
      <c r="R219" s="3">
        <f t="shared" si="53"/>
        <v>1.118168392520875E-08</v>
      </c>
      <c r="S219" s="3">
        <f t="shared" si="53"/>
        <v>5.3086999594340975E-09</v>
      </c>
      <c r="T219" s="3">
        <f t="shared" si="53"/>
        <v>3.0889092322112088E-09</v>
      </c>
      <c r="U219" s="3">
        <f t="shared" si="53"/>
        <v>2.018006727836459E-09</v>
      </c>
      <c r="V219" s="3">
        <f t="shared" si="53"/>
        <v>1.4209210468323681E-09</v>
      </c>
      <c r="Z219" s="3">
        <v>1200</v>
      </c>
      <c r="AA219" s="3">
        <f t="shared" si="54"/>
        <v>8.577913179900749E-10</v>
      </c>
      <c r="AB219" s="3">
        <f t="shared" si="54"/>
        <v>1.1203804969666282E-09</v>
      </c>
      <c r="AC219" s="3">
        <f t="shared" si="54"/>
        <v>1.5249623430934662E-09</v>
      </c>
      <c r="AD219" s="3">
        <f t="shared" si="54"/>
        <v>2.1959457740545912E-09</v>
      </c>
      <c r="AE219" s="3">
        <f t="shared" si="54"/>
        <v>3.4311652719602994E-09</v>
      </c>
      <c r="AF219" s="3">
        <f t="shared" si="54"/>
        <v>6.099849372373865E-09</v>
      </c>
      <c r="AG219" s="3">
        <f t="shared" si="54"/>
        <v>1.3724661087841198E-08</v>
      </c>
      <c r="AH219" s="3">
        <f t="shared" si="54"/>
        <v>5.489864435136479E-08</v>
      </c>
      <c r="AI219" s="3">
        <f t="shared" si="54"/>
        <v>1.3724661087841197E-06</v>
      </c>
    </row>
    <row r="220" spans="13:35" ht="12.75">
      <c r="M220" s="3">
        <v>1300</v>
      </c>
      <c r="N220" s="3">
        <f t="shared" si="53"/>
        <v>1.3817881156204718E-08</v>
      </c>
      <c r="O220" s="3">
        <f t="shared" si="53"/>
        <v>7.152604719433472E-08</v>
      </c>
      <c r="P220" s="3">
        <f t="shared" si="53"/>
        <v>9.447194306304896E-07</v>
      </c>
      <c r="Q220" s="3">
        <f t="shared" si="53"/>
        <v>2.9759443105923615E-08</v>
      </c>
      <c r="R220" s="3">
        <f t="shared" si="53"/>
        <v>8.95947258398018E-09</v>
      </c>
      <c r="S220" s="3">
        <f t="shared" si="53"/>
        <v>4.253666268986273E-09</v>
      </c>
      <c r="T220" s="3">
        <f t="shared" si="53"/>
        <v>2.4750295005215793E-09</v>
      </c>
      <c r="U220" s="3">
        <f t="shared" si="53"/>
        <v>1.6169546620412782E-09</v>
      </c>
      <c r="V220" s="3">
        <f t="shared" si="53"/>
        <v>1.1385318390545858E-09</v>
      </c>
      <c r="Z220" s="3">
        <v>1300</v>
      </c>
      <c r="AA220" s="3">
        <f t="shared" si="54"/>
        <v>6.873166732053573E-10</v>
      </c>
      <c r="AB220" s="3">
        <f t="shared" si="54"/>
        <v>8.977197364314871E-10</v>
      </c>
      <c r="AC220" s="3">
        <f t="shared" si="54"/>
        <v>1.2218963079206352E-09</v>
      </c>
      <c r="AD220" s="3">
        <f t="shared" si="54"/>
        <v>1.7595306834057145E-09</v>
      </c>
      <c r="AE220" s="3">
        <f t="shared" si="54"/>
        <v>2.749266692821429E-09</v>
      </c>
      <c r="AF220" s="3">
        <f t="shared" si="54"/>
        <v>4.887585231682541E-09</v>
      </c>
      <c r="AG220" s="3">
        <f t="shared" si="54"/>
        <v>1.0997066771285716E-08</v>
      </c>
      <c r="AH220" s="3">
        <f t="shared" si="54"/>
        <v>4.3988267085142864E-08</v>
      </c>
      <c r="AI220" s="3">
        <f t="shared" si="54"/>
        <v>1.0997066771285716E-06</v>
      </c>
    </row>
    <row r="221" spans="13:35" ht="12.75">
      <c r="M221" s="3">
        <v>1500</v>
      </c>
      <c r="N221" s="3">
        <f t="shared" si="53"/>
        <v>9.441952748258034E-09</v>
      </c>
      <c r="O221" s="3">
        <f t="shared" si="53"/>
        <v>4.887475512664462E-08</v>
      </c>
      <c r="P221" s="3">
        <f t="shared" si="53"/>
        <v>6.455400884938806E-07</v>
      </c>
      <c r="Q221" s="3">
        <f t="shared" si="53"/>
        <v>2.0335046483912687E-08</v>
      </c>
      <c r="R221" s="3">
        <f t="shared" si="53"/>
        <v>6.12213376500695E-09</v>
      </c>
      <c r="S221" s="3">
        <f t="shared" si="53"/>
        <v>2.906590052744293E-09</v>
      </c>
      <c r="T221" s="3">
        <f t="shared" si="53"/>
        <v>1.691222505845325E-09</v>
      </c>
      <c r="U221" s="3">
        <f t="shared" si="53"/>
        <v>1.1048878871138481E-09</v>
      </c>
      <c r="V221" s="3">
        <f t="shared" si="53"/>
        <v>7.779748360271291E-10</v>
      </c>
      <c r="Z221" s="3">
        <v>1500</v>
      </c>
      <c r="AA221" s="3">
        <f t="shared" si="54"/>
        <v>4.696531601432125E-10</v>
      </c>
      <c r="AB221" s="3">
        <f t="shared" si="54"/>
        <v>6.134245356972572E-10</v>
      </c>
      <c r="AC221" s="3">
        <f t="shared" si="54"/>
        <v>8.349389513657113E-10</v>
      </c>
      <c r="AD221" s="3">
        <f t="shared" si="54"/>
        <v>1.202312089966624E-09</v>
      </c>
      <c r="AE221" s="3">
        <f t="shared" si="54"/>
        <v>1.87861264057285E-09</v>
      </c>
      <c r="AF221" s="3">
        <f t="shared" si="54"/>
        <v>3.339755805462845E-09</v>
      </c>
      <c r="AG221" s="3">
        <f t="shared" si="54"/>
        <v>7.5144505622914E-09</v>
      </c>
      <c r="AH221" s="3">
        <f t="shared" si="54"/>
        <v>3.00578022491656E-08</v>
      </c>
      <c r="AI221" s="3">
        <f t="shared" si="54"/>
        <v>7.514450562291401E-07</v>
      </c>
    </row>
    <row r="222" spans="13:35" ht="12.75">
      <c r="M222" s="3">
        <v>1800</v>
      </c>
      <c r="N222" s="3">
        <f t="shared" si="53"/>
        <v>5.9467666096517645E-09</v>
      </c>
      <c r="O222" s="3">
        <f t="shared" si="53"/>
        <v>3.078248425842405E-08</v>
      </c>
      <c r="P222" s="3">
        <f t="shared" si="53"/>
        <v>4.0657651502813297E-07</v>
      </c>
      <c r="Q222" s="3">
        <f t="shared" si="53"/>
        <v>1.2807496358055666E-08</v>
      </c>
      <c r="R222" s="3">
        <f t="shared" si="53"/>
        <v>3.855865584614555E-09</v>
      </c>
      <c r="S222" s="3">
        <f t="shared" si="53"/>
        <v>1.8306396075530704E-09</v>
      </c>
      <c r="T222" s="3">
        <f t="shared" si="53"/>
        <v>1.0651721942908534E-09</v>
      </c>
      <c r="U222" s="3">
        <f t="shared" si="53"/>
        <v>6.958846935248143E-10</v>
      </c>
      <c r="V222" s="3">
        <f t="shared" si="53"/>
        <v>4.89987071677411E-10</v>
      </c>
      <c r="Z222" s="3">
        <v>1800</v>
      </c>
      <c r="AA222" s="3">
        <f t="shared" si="54"/>
        <v>2.9579874050655044E-10</v>
      </c>
      <c r="AB222" s="3">
        <f t="shared" si="54"/>
        <v>3.8634937535549444E-10</v>
      </c>
      <c r="AC222" s="3">
        <f t="shared" si="54"/>
        <v>5.258644275672008E-10</v>
      </c>
      <c r="AD222" s="3">
        <f t="shared" si="54"/>
        <v>7.572447756967691E-10</v>
      </c>
      <c r="AE222" s="3">
        <f t="shared" si="54"/>
        <v>1.1831949620262018E-09</v>
      </c>
      <c r="AF222" s="3">
        <f t="shared" si="54"/>
        <v>2.103457710268803E-09</v>
      </c>
      <c r="AG222" s="3">
        <f t="shared" si="54"/>
        <v>4.732779848104807E-09</v>
      </c>
      <c r="AH222" s="3">
        <f t="shared" si="54"/>
        <v>1.8931119392419228E-08</v>
      </c>
      <c r="AI222" s="3">
        <f t="shared" si="54"/>
        <v>4.732779848104807E-07</v>
      </c>
    </row>
    <row r="223" spans="13:35" ht="12.75">
      <c r="M223" s="3">
        <v>2000</v>
      </c>
      <c r="N223" s="3">
        <f>IF(N244=TRUE,IF($N$201-$M223=0,1/($N$200-N$204)^2,1/($N$201-$M223)^2),1/(($N$201-$M223)^2*($N$200-N$204)^2))</f>
        <v>4.595249050553131E-09</v>
      </c>
      <c r="O223" s="3">
        <f aca="true" t="shared" si="55" ref="O223:V223">IF(O244=TRUE,IF($N$201-$M223=0,1/($N$200-O$204)^2,1/($N$201-$M223)^2),1/(($N$201-$M223)^2*($N$200-O$204)^2))</f>
        <v>2.378657022332227E-08</v>
      </c>
      <c r="P223" s="3">
        <f t="shared" si="55"/>
        <v>3.141741499704888E-07</v>
      </c>
      <c r="Q223" s="3">
        <f t="shared" si="55"/>
        <v>9.89674546564463E-09</v>
      </c>
      <c r="R223" s="3">
        <f t="shared" si="55"/>
        <v>2.979545664025666E-09</v>
      </c>
      <c r="S223" s="3">
        <f t="shared" si="55"/>
        <v>1.414591402470697E-09</v>
      </c>
      <c r="T223" s="3">
        <f t="shared" si="55"/>
        <v>8.230912419778434E-10</v>
      </c>
      <c r="U223" s="3">
        <f t="shared" si="55"/>
        <v>5.37731457633515E-10</v>
      </c>
      <c r="V223" s="3">
        <f t="shared" si="55"/>
        <v>3.7862804675308817E-10</v>
      </c>
      <c r="Z223" s="3">
        <v>2000</v>
      </c>
      <c r="AA223" s="3">
        <f t="shared" si="54"/>
        <v>2.2857276410703716E-10</v>
      </c>
      <c r="AB223" s="3">
        <f t="shared" si="54"/>
        <v>2.985440184255179E-10</v>
      </c>
      <c r="AC223" s="3">
        <f t="shared" si="54"/>
        <v>4.0635158063473276E-10</v>
      </c>
      <c r="AD223" s="3">
        <f t="shared" si="54"/>
        <v>5.851462761140151E-10</v>
      </c>
      <c r="AE223" s="3">
        <f t="shared" si="54"/>
        <v>9.142910564281486E-10</v>
      </c>
      <c r="AF223" s="3">
        <f t="shared" si="54"/>
        <v>1.625406322538931E-09</v>
      </c>
      <c r="AG223" s="3">
        <f t="shared" si="54"/>
        <v>3.6571642257125945E-09</v>
      </c>
      <c r="AH223" s="3">
        <f t="shared" si="54"/>
        <v>1.4628656902850378E-08</v>
      </c>
      <c r="AI223" s="3">
        <f t="shared" si="54"/>
        <v>3.6571642257125947E-07</v>
      </c>
    </row>
    <row r="224" spans="23:36" ht="12.75">
      <c r="W224">
        <f>SUM(N205:V223)</f>
        <v>0.0009932967193126102</v>
      </c>
      <c r="AJ224">
        <f>SUM(AA205:AI223)</f>
        <v>0.0010749414413697635</v>
      </c>
    </row>
    <row r="226" spans="13:35" ht="12.75">
      <c r="M226" s="3">
        <v>80</v>
      </c>
      <c r="N226" t="b">
        <f>OR($N$201=$M205,$N$200=N$204)</f>
        <v>0</v>
      </c>
      <c r="O226" t="b">
        <f aca="true" t="shared" si="56" ref="O226:V226">OR($N$201=$M205,$N$200=O$204)</f>
        <v>0</v>
      </c>
      <c r="P226" t="b">
        <f t="shared" si="56"/>
        <v>0</v>
      </c>
      <c r="Q226" t="b">
        <f t="shared" si="56"/>
        <v>0</v>
      </c>
      <c r="R226" t="b">
        <f t="shared" si="56"/>
        <v>0</v>
      </c>
      <c r="S226" t="b">
        <f t="shared" si="56"/>
        <v>0</v>
      </c>
      <c r="T226" t="b">
        <f t="shared" si="56"/>
        <v>0</v>
      </c>
      <c r="U226" t="b">
        <f t="shared" si="56"/>
        <v>0</v>
      </c>
      <c r="V226" t="b">
        <f t="shared" si="56"/>
        <v>0</v>
      </c>
      <c r="Z226" s="3">
        <v>80</v>
      </c>
      <c r="AA226" t="b">
        <f>OR($N$201=$M205,$AA$200=AA$204)</f>
        <v>0</v>
      </c>
      <c r="AB226" t="b">
        <f aca="true" t="shared" si="57" ref="AB226:AI226">OR($N$201=$M205,$AA$200=AB$204)</f>
        <v>0</v>
      </c>
      <c r="AC226" t="b">
        <f t="shared" si="57"/>
        <v>0</v>
      </c>
      <c r="AD226" t="b">
        <f t="shared" si="57"/>
        <v>0</v>
      </c>
      <c r="AE226" t="b">
        <f t="shared" si="57"/>
        <v>0</v>
      </c>
      <c r="AF226" t="b">
        <f t="shared" si="57"/>
        <v>0</v>
      </c>
      <c r="AG226" t="b">
        <f t="shared" si="57"/>
        <v>0</v>
      </c>
      <c r="AH226" t="b">
        <f t="shared" si="57"/>
        <v>0</v>
      </c>
      <c r="AI226" t="b">
        <f t="shared" si="57"/>
        <v>1</v>
      </c>
    </row>
    <row r="227" spans="13:35" ht="12.75">
      <c r="M227" s="3">
        <v>90</v>
      </c>
      <c r="N227" t="b">
        <f aca="true" t="shared" si="58" ref="N227:V238">OR($N$201=$M206,$N$200=N$204)</f>
        <v>0</v>
      </c>
      <c r="O227" t="b">
        <f t="shared" si="58"/>
        <v>0</v>
      </c>
      <c r="P227" t="b">
        <f t="shared" si="58"/>
        <v>0</v>
      </c>
      <c r="Q227" t="b">
        <f t="shared" si="58"/>
        <v>0</v>
      </c>
      <c r="R227" t="b">
        <f t="shared" si="58"/>
        <v>0</v>
      </c>
      <c r="S227" t="b">
        <f t="shared" si="58"/>
        <v>0</v>
      </c>
      <c r="T227" t="b">
        <f t="shared" si="58"/>
        <v>0</v>
      </c>
      <c r="U227" t="b">
        <f t="shared" si="58"/>
        <v>0</v>
      </c>
      <c r="V227" t="b">
        <f t="shared" si="58"/>
        <v>0</v>
      </c>
      <c r="Z227" s="3">
        <v>90</v>
      </c>
      <c r="AA227" t="b">
        <f aca="true" t="shared" si="59" ref="AA227:AI227">OR($N$201=$M206,$AA$200=AA$204)</f>
        <v>0</v>
      </c>
      <c r="AB227" t="b">
        <f t="shared" si="59"/>
        <v>0</v>
      </c>
      <c r="AC227" t="b">
        <f t="shared" si="59"/>
        <v>0</v>
      </c>
      <c r="AD227" t="b">
        <f t="shared" si="59"/>
        <v>0</v>
      </c>
      <c r="AE227" t="b">
        <f t="shared" si="59"/>
        <v>0</v>
      </c>
      <c r="AF227" t="b">
        <f t="shared" si="59"/>
        <v>0</v>
      </c>
      <c r="AG227" t="b">
        <f t="shared" si="59"/>
        <v>0</v>
      </c>
      <c r="AH227" t="b">
        <f t="shared" si="59"/>
        <v>0</v>
      </c>
      <c r="AI227" t="b">
        <f t="shared" si="59"/>
        <v>1</v>
      </c>
    </row>
    <row r="228" spans="13:35" ht="12.75">
      <c r="M228" s="3">
        <v>100</v>
      </c>
      <c r="N228" t="b">
        <f t="shared" si="58"/>
        <v>0</v>
      </c>
      <c r="O228" t="b">
        <f t="shared" si="58"/>
        <v>0</v>
      </c>
      <c r="P228" t="b">
        <f t="shared" si="58"/>
        <v>0</v>
      </c>
      <c r="Q228" t="b">
        <f t="shared" si="58"/>
        <v>0</v>
      </c>
      <c r="R228" t="b">
        <f t="shared" si="58"/>
        <v>0</v>
      </c>
      <c r="S228" t="b">
        <f t="shared" si="58"/>
        <v>0</v>
      </c>
      <c r="T228" t="b">
        <f t="shared" si="58"/>
        <v>0</v>
      </c>
      <c r="U228" t="b">
        <f t="shared" si="58"/>
        <v>0</v>
      </c>
      <c r="V228" t="b">
        <f t="shared" si="58"/>
        <v>0</v>
      </c>
      <c r="Z228" s="3">
        <v>100</v>
      </c>
      <c r="AA228" t="b">
        <f aca="true" t="shared" si="60" ref="AA228:AI228">OR($N$201=$M207,$AA$200=AA$204)</f>
        <v>0</v>
      </c>
      <c r="AB228" t="b">
        <f t="shared" si="60"/>
        <v>0</v>
      </c>
      <c r="AC228" t="b">
        <f t="shared" si="60"/>
        <v>0</v>
      </c>
      <c r="AD228" t="b">
        <f t="shared" si="60"/>
        <v>0</v>
      </c>
      <c r="AE228" t="b">
        <f t="shared" si="60"/>
        <v>0</v>
      </c>
      <c r="AF228" t="b">
        <f t="shared" si="60"/>
        <v>0</v>
      </c>
      <c r="AG228" t="b">
        <f t="shared" si="60"/>
        <v>0</v>
      </c>
      <c r="AH228" t="b">
        <f t="shared" si="60"/>
        <v>0</v>
      </c>
      <c r="AI228" t="b">
        <f t="shared" si="60"/>
        <v>1</v>
      </c>
    </row>
    <row r="229" spans="13:35" ht="12.75">
      <c r="M229" s="3">
        <v>150</v>
      </c>
      <c r="N229" t="b">
        <f t="shared" si="58"/>
        <v>0</v>
      </c>
      <c r="O229" t="b">
        <f t="shared" si="58"/>
        <v>0</v>
      </c>
      <c r="P229" t="b">
        <f t="shared" si="58"/>
        <v>0</v>
      </c>
      <c r="Q229" t="b">
        <f t="shared" si="58"/>
        <v>0</v>
      </c>
      <c r="R229" t="b">
        <f t="shared" si="58"/>
        <v>0</v>
      </c>
      <c r="S229" t="b">
        <f t="shared" si="58"/>
        <v>0</v>
      </c>
      <c r="T229" t="b">
        <f t="shared" si="58"/>
        <v>0</v>
      </c>
      <c r="U229" t="b">
        <f t="shared" si="58"/>
        <v>0</v>
      </c>
      <c r="V229" t="b">
        <f t="shared" si="58"/>
        <v>0</v>
      </c>
      <c r="Z229" s="3">
        <v>150</v>
      </c>
      <c r="AA229" t="b">
        <f aca="true" t="shared" si="61" ref="AA229:AI229">OR($N$201=$M208,$AA$200=AA$204)</f>
        <v>0</v>
      </c>
      <c r="AB229" t="b">
        <f t="shared" si="61"/>
        <v>0</v>
      </c>
      <c r="AC229" t="b">
        <f t="shared" si="61"/>
        <v>0</v>
      </c>
      <c r="AD229" t="b">
        <f t="shared" si="61"/>
        <v>0</v>
      </c>
      <c r="AE229" t="b">
        <f t="shared" si="61"/>
        <v>0</v>
      </c>
      <c r="AF229" t="b">
        <f t="shared" si="61"/>
        <v>0</v>
      </c>
      <c r="AG229" t="b">
        <f t="shared" si="61"/>
        <v>0</v>
      </c>
      <c r="AH229" t="b">
        <f t="shared" si="61"/>
        <v>0</v>
      </c>
      <c r="AI229" t="b">
        <f t="shared" si="61"/>
        <v>1</v>
      </c>
    </row>
    <row r="230" spans="13:35" ht="12.75">
      <c r="M230" s="3">
        <v>200</v>
      </c>
      <c r="N230" t="b">
        <f t="shared" si="58"/>
        <v>0</v>
      </c>
      <c r="O230" t="b">
        <f t="shared" si="58"/>
        <v>0</v>
      </c>
      <c r="P230" t="b">
        <f t="shared" si="58"/>
        <v>0</v>
      </c>
      <c r="Q230" t="b">
        <f t="shared" si="58"/>
        <v>0</v>
      </c>
      <c r="R230" t="b">
        <f t="shared" si="58"/>
        <v>0</v>
      </c>
      <c r="S230" t="b">
        <f t="shared" si="58"/>
        <v>0</v>
      </c>
      <c r="T230" t="b">
        <f t="shared" si="58"/>
        <v>0</v>
      </c>
      <c r="U230" t="b">
        <f t="shared" si="58"/>
        <v>0</v>
      </c>
      <c r="V230" t="b">
        <f t="shared" si="58"/>
        <v>0</v>
      </c>
      <c r="Z230" s="3">
        <v>200</v>
      </c>
      <c r="AA230" t="b">
        <f aca="true" t="shared" si="62" ref="AA230:AI230">OR($N$201=$M209,$AA$200=AA$204)</f>
        <v>0</v>
      </c>
      <c r="AB230" t="b">
        <f t="shared" si="62"/>
        <v>0</v>
      </c>
      <c r="AC230" t="b">
        <f t="shared" si="62"/>
        <v>0</v>
      </c>
      <c r="AD230" t="b">
        <f t="shared" si="62"/>
        <v>0</v>
      </c>
      <c r="AE230" t="b">
        <f t="shared" si="62"/>
        <v>0</v>
      </c>
      <c r="AF230" t="b">
        <f t="shared" si="62"/>
        <v>0</v>
      </c>
      <c r="AG230" t="b">
        <f t="shared" si="62"/>
        <v>0</v>
      </c>
      <c r="AH230" t="b">
        <f t="shared" si="62"/>
        <v>0</v>
      </c>
      <c r="AI230" t="b">
        <f t="shared" si="62"/>
        <v>1</v>
      </c>
    </row>
    <row r="231" spans="13:35" ht="12.75">
      <c r="M231" s="3">
        <v>300</v>
      </c>
      <c r="N231" t="b">
        <f t="shared" si="58"/>
        <v>0</v>
      </c>
      <c r="O231" t="b">
        <f t="shared" si="58"/>
        <v>0</v>
      </c>
      <c r="P231" t="b">
        <f t="shared" si="58"/>
        <v>0</v>
      </c>
      <c r="Q231" t="b">
        <f t="shared" si="58"/>
        <v>0</v>
      </c>
      <c r="R231" t="b">
        <f t="shared" si="58"/>
        <v>0</v>
      </c>
      <c r="S231" t="b">
        <f t="shared" si="58"/>
        <v>0</v>
      </c>
      <c r="T231" t="b">
        <f t="shared" si="58"/>
        <v>0</v>
      </c>
      <c r="U231" t="b">
        <f t="shared" si="58"/>
        <v>0</v>
      </c>
      <c r="V231" t="b">
        <f t="shared" si="58"/>
        <v>0</v>
      </c>
      <c r="Z231" s="3">
        <v>300</v>
      </c>
      <c r="AA231" t="b">
        <f aca="true" t="shared" si="63" ref="AA231:AI231">OR($N$201=$M210,$AA$200=AA$204)</f>
        <v>0</v>
      </c>
      <c r="AB231" t="b">
        <f t="shared" si="63"/>
        <v>0</v>
      </c>
      <c r="AC231" t="b">
        <f t="shared" si="63"/>
        <v>0</v>
      </c>
      <c r="AD231" t="b">
        <f t="shared" si="63"/>
        <v>0</v>
      </c>
      <c r="AE231" t="b">
        <f t="shared" si="63"/>
        <v>0</v>
      </c>
      <c r="AF231" t="b">
        <f t="shared" si="63"/>
        <v>0</v>
      </c>
      <c r="AG231" t="b">
        <f t="shared" si="63"/>
        <v>0</v>
      </c>
      <c r="AH231" t="b">
        <f t="shared" si="63"/>
        <v>0</v>
      </c>
      <c r="AI231" t="b">
        <f t="shared" si="63"/>
        <v>1</v>
      </c>
    </row>
    <row r="232" spans="13:35" ht="12.75">
      <c r="M232" s="3">
        <v>400</v>
      </c>
      <c r="N232" t="b">
        <f t="shared" si="58"/>
        <v>0</v>
      </c>
      <c r="O232" t="b">
        <f t="shared" si="58"/>
        <v>0</v>
      </c>
      <c r="P232" t="b">
        <f t="shared" si="58"/>
        <v>0</v>
      </c>
      <c r="Q232" t="b">
        <f t="shared" si="58"/>
        <v>0</v>
      </c>
      <c r="R232" t="b">
        <f t="shared" si="58"/>
        <v>0</v>
      </c>
      <c r="S232" t="b">
        <f t="shared" si="58"/>
        <v>0</v>
      </c>
      <c r="T232" t="b">
        <f t="shared" si="58"/>
        <v>0</v>
      </c>
      <c r="U232" t="b">
        <f t="shared" si="58"/>
        <v>0</v>
      </c>
      <c r="V232" t="b">
        <f t="shared" si="58"/>
        <v>0</v>
      </c>
      <c r="Z232" s="3">
        <v>400</v>
      </c>
      <c r="AA232" t="b">
        <f aca="true" t="shared" si="64" ref="AA232:AI232">OR($N$201=$M211,$AA$200=AA$204)</f>
        <v>0</v>
      </c>
      <c r="AB232" t="b">
        <f t="shared" si="64"/>
        <v>0</v>
      </c>
      <c r="AC232" t="b">
        <f t="shared" si="64"/>
        <v>0</v>
      </c>
      <c r="AD232" t="b">
        <f t="shared" si="64"/>
        <v>0</v>
      </c>
      <c r="AE232" t="b">
        <f t="shared" si="64"/>
        <v>0</v>
      </c>
      <c r="AF232" t="b">
        <f t="shared" si="64"/>
        <v>0</v>
      </c>
      <c r="AG232" t="b">
        <f t="shared" si="64"/>
        <v>0</v>
      </c>
      <c r="AH232" t="b">
        <f t="shared" si="64"/>
        <v>0</v>
      </c>
      <c r="AI232" t="b">
        <f t="shared" si="64"/>
        <v>1</v>
      </c>
    </row>
    <row r="233" spans="13:35" ht="12.75">
      <c r="M233" s="3">
        <v>500</v>
      </c>
      <c r="N233" t="b">
        <f t="shared" si="58"/>
        <v>0</v>
      </c>
      <c r="O233" t="b">
        <f t="shared" si="58"/>
        <v>0</v>
      </c>
      <c r="P233" t="b">
        <f t="shared" si="58"/>
        <v>0</v>
      </c>
      <c r="Q233" t="b">
        <f t="shared" si="58"/>
        <v>0</v>
      </c>
      <c r="R233" t="b">
        <f t="shared" si="58"/>
        <v>0</v>
      </c>
      <c r="S233" t="b">
        <f t="shared" si="58"/>
        <v>0</v>
      </c>
      <c r="T233" t="b">
        <f t="shared" si="58"/>
        <v>0</v>
      </c>
      <c r="U233" t="b">
        <f t="shared" si="58"/>
        <v>0</v>
      </c>
      <c r="V233" t="b">
        <f t="shared" si="58"/>
        <v>0</v>
      </c>
      <c r="Z233" s="3">
        <v>500</v>
      </c>
      <c r="AA233" t="b">
        <f aca="true" t="shared" si="65" ref="AA233:AI233">OR($N$201=$M212,$AA$200=AA$204)</f>
        <v>0</v>
      </c>
      <c r="AB233" t="b">
        <f t="shared" si="65"/>
        <v>0</v>
      </c>
      <c r="AC233" t="b">
        <f t="shared" si="65"/>
        <v>0</v>
      </c>
      <c r="AD233" t="b">
        <f t="shared" si="65"/>
        <v>0</v>
      </c>
      <c r="AE233" t="b">
        <f t="shared" si="65"/>
        <v>0</v>
      </c>
      <c r="AF233" t="b">
        <f t="shared" si="65"/>
        <v>0</v>
      </c>
      <c r="AG233" t="b">
        <f t="shared" si="65"/>
        <v>0</v>
      </c>
      <c r="AH233" t="b">
        <f t="shared" si="65"/>
        <v>0</v>
      </c>
      <c r="AI233" t="b">
        <f t="shared" si="65"/>
        <v>1</v>
      </c>
    </row>
    <row r="234" spans="13:35" ht="12.75">
      <c r="M234" s="3">
        <v>600</v>
      </c>
      <c r="N234" t="b">
        <f t="shared" si="58"/>
        <v>0</v>
      </c>
      <c r="O234" t="b">
        <f t="shared" si="58"/>
        <v>0</v>
      </c>
      <c r="P234" t="b">
        <f t="shared" si="58"/>
        <v>0</v>
      </c>
      <c r="Q234" t="b">
        <f t="shared" si="58"/>
        <v>0</v>
      </c>
      <c r="R234" t="b">
        <f t="shared" si="58"/>
        <v>0</v>
      </c>
      <c r="S234" t="b">
        <f t="shared" si="58"/>
        <v>0</v>
      </c>
      <c r="T234" t="b">
        <f t="shared" si="58"/>
        <v>0</v>
      </c>
      <c r="U234" t="b">
        <f t="shared" si="58"/>
        <v>0</v>
      </c>
      <c r="V234" t="b">
        <f t="shared" si="58"/>
        <v>0</v>
      </c>
      <c r="Z234" s="3">
        <v>600</v>
      </c>
      <c r="AA234" t="b">
        <f aca="true" t="shared" si="66" ref="AA234:AI234">OR($N$201=$M213,$AA$200=AA$204)</f>
        <v>0</v>
      </c>
      <c r="AB234" t="b">
        <f t="shared" si="66"/>
        <v>0</v>
      </c>
      <c r="AC234" t="b">
        <f t="shared" si="66"/>
        <v>0</v>
      </c>
      <c r="AD234" t="b">
        <f t="shared" si="66"/>
        <v>0</v>
      </c>
      <c r="AE234" t="b">
        <f t="shared" si="66"/>
        <v>0</v>
      </c>
      <c r="AF234" t="b">
        <f t="shared" si="66"/>
        <v>0</v>
      </c>
      <c r="AG234" t="b">
        <f t="shared" si="66"/>
        <v>0</v>
      </c>
      <c r="AH234" t="b">
        <f t="shared" si="66"/>
        <v>0</v>
      </c>
      <c r="AI234" t="b">
        <f t="shared" si="66"/>
        <v>1</v>
      </c>
    </row>
    <row r="235" spans="13:35" ht="12.75">
      <c r="M235" s="3">
        <v>700</v>
      </c>
      <c r="N235" t="b">
        <f t="shared" si="58"/>
        <v>0</v>
      </c>
      <c r="O235" t="b">
        <f t="shared" si="58"/>
        <v>0</v>
      </c>
      <c r="P235" t="b">
        <f t="shared" si="58"/>
        <v>0</v>
      </c>
      <c r="Q235" t="b">
        <f t="shared" si="58"/>
        <v>0</v>
      </c>
      <c r="R235" t="b">
        <f t="shared" si="58"/>
        <v>0</v>
      </c>
      <c r="S235" t="b">
        <f t="shared" si="58"/>
        <v>0</v>
      </c>
      <c r="T235" t="b">
        <f t="shared" si="58"/>
        <v>0</v>
      </c>
      <c r="U235" t="b">
        <f t="shared" si="58"/>
        <v>0</v>
      </c>
      <c r="V235" t="b">
        <f t="shared" si="58"/>
        <v>0</v>
      </c>
      <c r="Z235" s="3">
        <v>700</v>
      </c>
      <c r="AA235" t="b">
        <f aca="true" t="shared" si="67" ref="AA235:AI235">OR($N$201=$M214,$AA$200=AA$204)</f>
        <v>0</v>
      </c>
      <c r="AB235" t="b">
        <f t="shared" si="67"/>
        <v>0</v>
      </c>
      <c r="AC235" t="b">
        <f t="shared" si="67"/>
        <v>0</v>
      </c>
      <c r="AD235" t="b">
        <f t="shared" si="67"/>
        <v>0</v>
      </c>
      <c r="AE235" t="b">
        <f t="shared" si="67"/>
        <v>0</v>
      </c>
      <c r="AF235" t="b">
        <f t="shared" si="67"/>
        <v>0</v>
      </c>
      <c r="AG235" t="b">
        <f t="shared" si="67"/>
        <v>0</v>
      </c>
      <c r="AH235" t="b">
        <f t="shared" si="67"/>
        <v>0</v>
      </c>
      <c r="AI235" t="b">
        <f t="shared" si="67"/>
        <v>1</v>
      </c>
    </row>
    <row r="236" spans="13:35" ht="12.75">
      <c r="M236" s="3">
        <v>800</v>
      </c>
      <c r="N236" t="b">
        <f t="shared" si="58"/>
        <v>0</v>
      </c>
      <c r="O236" t="b">
        <f t="shared" si="58"/>
        <v>0</v>
      </c>
      <c r="P236" t="b">
        <f t="shared" si="58"/>
        <v>0</v>
      </c>
      <c r="Q236" t="b">
        <f t="shared" si="58"/>
        <v>0</v>
      </c>
      <c r="R236" t="b">
        <f t="shared" si="58"/>
        <v>0</v>
      </c>
      <c r="S236" t="b">
        <f t="shared" si="58"/>
        <v>0</v>
      </c>
      <c r="T236" t="b">
        <f t="shared" si="58"/>
        <v>0</v>
      </c>
      <c r="U236" t="b">
        <f t="shared" si="58"/>
        <v>0</v>
      </c>
      <c r="V236" t="b">
        <f t="shared" si="58"/>
        <v>0</v>
      </c>
      <c r="Z236" s="3">
        <v>800</v>
      </c>
      <c r="AA236" t="b">
        <f aca="true" t="shared" si="68" ref="AA236:AI236">OR($N$201=$M215,$AA$200=AA$204)</f>
        <v>0</v>
      </c>
      <c r="AB236" t="b">
        <f t="shared" si="68"/>
        <v>0</v>
      </c>
      <c r="AC236" t="b">
        <f t="shared" si="68"/>
        <v>0</v>
      </c>
      <c r="AD236" t="b">
        <f t="shared" si="68"/>
        <v>0</v>
      </c>
      <c r="AE236" t="b">
        <f t="shared" si="68"/>
        <v>0</v>
      </c>
      <c r="AF236" t="b">
        <f t="shared" si="68"/>
        <v>0</v>
      </c>
      <c r="AG236" t="b">
        <f t="shared" si="68"/>
        <v>0</v>
      </c>
      <c r="AH236" t="b">
        <f t="shared" si="68"/>
        <v>0</v>
      </c>
      <c r="AI236" t="b">
        <f t="shared" si="68"/>
        <v>1</v>
      </c>
    </row>
    <row r="237" spans="13:35" ht="12.75">
      <c r="M237" s="3">
        <v>900</v>
      </c>
      <c r="N237" t="b">
        <f t="shared" si="58"/>
        <v>0</v>
      </c>
      <c r="O237" t="b">
        <f t="shared" si="58"/>
        <v>0</v>
      </c>
      <c r="P237" t="b">
        <f t="shared" si="58"/>
        <v>0</v>
      </c>
      <c r="Q237" t="b">
        <f t="shared" si="58"/>
        <v>0</v>
      </c>
      <c r="R237" t="b">
        <f t="shared" si="58"/>
        <v>0</v>
      </c>
      <c r="S237" t="b">
        <f t="shared" si="58"/>
        <v>0</v>
      </c>
      <c r="T237" t="b">
        <f t="shared" si="58"/>
        <v>0</v>
      </c>
      <c r="U237" t="b">
        <f t="shared" si="58"/>
        <v>0</v>
      </c>
      <c r="V237" t="b">
        <f t="shared" si="58"/>
        <v>0</v>
      </c>
      <c r="Z237" s="3">
        <v>900</v>
      </c>
      <c r="AA237" t="b">
        <f aca="true" t="shared" si="69" ref="AA237:AI237">OR($N$201=$M216,$AA$200=AA$204)</f>
        <v>0</v>
      </c>
      <c r="AB237" t="b">
        <f t="shared" si="69"/>
        <v>0</v>
      </c>
      <c r="AC237" t="b">
        <f t="shared" si="69"/>
        <v>0</v>
      </c>
      <c r="AD237" t="b">
        <f t="shared" si="69"/>
        <v>0</v>
      </c>
      <c r="AE237" t="b">
        <f t="shared" si="69"/>
        <v>0</v>
      </c>
      <c r="AF237" t="b">
        <f t="shared" si="69"/>
        <v>0</v>
      </c>
      <c r="AG237" t="b">
        <f t="shared" si="69"/>
        <v>0</v>
      </c>
      <c r="AH237" t="b">
        <f t="shared" si="69"/>
        <v>0</v>
      </c>
      <c r="AI237" t="b">
        <f t="shared" si="69"/>
        <v>1</v>
      </c>
    </row>
    <row r="238" spans="13:35" ht="12.75">
      <c r="M238" s="3">
        <v>1000</v>
      </c>
      <c r="N238" t="b">
        <f t="shared" si="58"/>
        <v>0</v>
      </c>
      <c r="O238" t="b">
        <f aca="true" t="shared" si="70" ref="O238:V238">OR($N$201=$M217,$N$200=O$204)</f>
        <v>0</v>
      </c>
      <c r="P238" t="b">
        <f t="shared" si="70"/>
        <v>0</v>
      </c>
      <c r="Q238" t="b">
        <f t="shared" si="70"/>
        <v>0</v>
      </c>
      <c r="R238" t="b">
        <f t="shared" si="70"/>
        <v>0</v>
      </c>
      <c r="S238" t="b">
        <f t="shared" si="70"/>
        <v>0</v>
      </c>
      <c r="T238" t="b">
        <f t="shared" si="70"/>
        <v>0</v>
      </c>
      <c r="U238" t="b">
        <f t="shared" si="70"/>
        <v>0</v>
      </c>
      <c r="V238" t="b">
        <f t="shared" si="70"/>
        <v>0</v>
      </c>
      <c r="Z238" s="3">
        <v>1000</v>
      </c>
      <c r="AA238" t="b">
        <f>OR($N$201=$M217,$AA$200=AA$204)</f>
        <v>0</v>
      </c>
      <c r="AB238" t="b">
        <f aca="true" t="shared" si="71" ref="AB238:AI238">OR($N$201=$M217,$AA$200=AB$204)</f>
        <v>0</v>
      </c>
      <c r="AC238" t="b">
        <f t="shared" si="71"/>
        <v>0</v>
      </c>
      <c r="AD238" t="b">
        <f t="shared" si="71"/>
        <v>0</v>
      </c>
      <c r="AE238" t="b">
        <f t="shared" si="71"/>
        <v>0</v>
      </c>
      <c r="AF238" t="b">
        <f t="shared" si="71"/>
        <v>0</v>
      </c>
      <c r="AG238" t="b">
        <f t="shared" si="71"/>
        <v>0</v>
      </c>
      <c r="AH238" t="b">
        <f t="shared" si="71"/>
        <v>0</v>
      </c>
      <c r="AI238" t="b">
        <f t="shared" si="71"/>
        <v>1</v>
      </c>
    </row>
    <row r="239" spans="13:35" ht="12.75">
      <c r="M239" s="3">
        <v>1100</v>
      </c>
      <c r="N239" t="b">
        <f aca="true" t="shared" si="72" ref="N239:V239">OR($N$201=$M218,$N$200=N$204)</f>
        <v>0</v>
      </c>
      <c r="O239" t="b">
        <f t="shared" si="72"/>
        <v>0</v>
      </c>
      <c r="P239" t="b">
        <f t="shared" si="72"/>
        <v>0</v>
      </c>
      <c r="Q239" t="b">
        <f t="shared" si="72"/>
        <v>0</v>
      </c>
      <c r="R239" t="b">
        <f t="shared" si="72"/>
        <v>0</v>
      </c>
      <c r="S239" t="b">
        <f t="shared" si="72"/>
        <v>0</v>
      </c>
      <c r="T239" t="b">
        <f t="shared" si="72"/>
        <v>0</v>
      </c>
      <c r="U239" t="b">
        <f t="shared" si="72"/>
        <v>0</v>
      </c>
      <c r="V239" t="b">
        <f t="shared" si="72"/>
        <v>0</v>
      </c>
      <c r="Z239" s="3">
        <v>1100</v>
      </c>
      <c r="AA239" t="b">
        <f aca="true" t="shared" si="73" ref="AA239:AI239">OR($N$201=$M218,$AA$200=AA$204)</f>
        <v>0</v>
      </c>
      <c r="AB239" t="b">
        <f t="shared" si="73"/>
        <v>0</v>
      </c>
      <c r="AC239" t="b">
        <f t="shared" si="73"/>
        <v>0</v>
      </c>
      <c r="AD239" t="b">
        <f t="shared" si="73"/>
        <v>0</v>
      </c>
      <c r="AE239" t="b">
        <f t="shared" si="73"/>
        <v>0</v>
      </c>
      <c r="AF239" t="b">
        <f t="shared" si="73"/>
        <v>0</v>
      </c>
      <c r="AG239" t="b">
        <f t="shared" si="73"/>
        <v>0</v>
      </c>
      <c r="AH239" t="b">
        <f t="shared" si="73"/>
        <v>0</v>
      </c>
      <c r="AI239" t="b">
        <f t="shared" si="73"/>
        <v>1</v>
      </c>
    </row>
    <row r="240" spans="13:35" ht="12.75">
      <c r="M240" s="3">
        <v>1200</v>
      </c>
      <c r="N240" t="b">
        <f aca="true" t="shared" si="74" ref="N240:V240">OR($N$201=$M219,$N$200=N$204)</f>
        <v>0</v>
      </c>
      <c r="O240" t="b">
        <f t="shared" si="74"/>
        <v>0</v>
      </c>
      <c r="P240" t="b">
        <f t="shared" si="74"/>
        <v>0</v>
      </c>
      <c r="Q240" t="b">
        <f t="shared" si="74"/>
        <v>0</v>
      </c>
      <c r="R240" t="b">
        <f t="shared" si="74"/>
        <v>0</v>
      </c>
      <c r="S240" t="b">
        <f t="shared" si="74"/>
        <v>0</v>
      </c>
      <c r="T240" t="b">
        <f t="shared" si="74"/>
        <v>0</v>
      </c>
      <c r="U240" t="b">
        <f t="shared" si="74"/>
        <v>0</v>
      </c>
      <c r="V240" t="b">
        <f t="shared" si="74"/>
        <v>0</v>
      </c>
      <c r="Z240" s="3">
        <v>1200</v>
      </c>
      <c r="AA240" t="b">
        <f aca="true" t="shared" si="75" ref="AA240:AI240">OR($N$201=$M219,$AA$200=AA$204)</f>
        <v>0</v>
      </c>
      <c r="AB240" t="b">
        <f t="shared" si="75"/>
        <v>0</v>
      </c>
      <c r="AC240" t="b">
        <f t="shared" si="75"/>
        <v>0</v>
      </c>
      <c r="AD240" t="b">
        <f t="shared" si="75"/>
        <v>0</v>
      </c>
      <c r="AE240" t="b">
        <f t="shared" si="75"/>
        <v>0</v>
      </c>
      <c r="AF240" t="b">
        <f t="shared" si="75"/>
        <v>0</v>
      </c>
      <c r="AG240" t="b">
        <f t="shared" si="75"/>
        <v>0</v>
      </c>
      <c r="AH240" t="b">
        <f t="shared" si="75"/>
        <v>0</v>
      </c>
      <c r="AI240" t="b">
        <f t="shared" si="75"/>
        <v>1</v>
      </c>
    </row>
    <row r="241" spans="13:35" ht="12.75">
      <c r="M241" s="3">
        <v>1300</v>
      </c>
      <c r="N241" t="b">
        <f aca="true" t="shared" si="76" ref="N241:V241">OR($N$201=$M220,$N$200=N$204)</f>
        <v>0</v>
      </c>
      <c r="O241" t="b">
        <f t="shared" si="76"/>
        <v>0</v>
      </c>
      <c r="P241" t="b">
        <f t="shared" si="76"/>
        <v>0</v>
      </c>
      <c r="Q241" t="b">
        <f t="shared" si="76"/>
        <v>0</v>
      </c>
      <c r="R241" t="b">
        <f t="shared" si="76"/>
        <v>0</v>
      </c>
      <c r="S241" t="b">
        <f t="shared" si="76"/>
        <v>0</v>
      </c>
      <c r="T241" t="b">
        <f t="shared" si="76"/>
        <v>0</v>
      </c>
      <c r="U241" t="b">
        <f t="shared" si="76"/>
        <v>0</v>
      </c>
      <c r="V241" t="b">
        <f t="shared" si="76"/>
        <v>0</v>
      </c>
      <c r="Z241" s="3">
        <v>1300</v>
      </c>
      <c r="AA241" t="b">
        <f aca="true" t="shared" si="77" ref="AA241:AI241">OR($N$201=$M220,$AA$200=AA$204)</f>
        <v>0</v>
      </c>
      <c r="AB241" t="b">
        <f t="shared" si="77"/>
        <v>0</v>
      </c>
      <c r="AC241" t="b">
        <f t="shared" si="77"/>
        <v>0</v>
      </c>
      <c r="AD241" t="b">
        <f t="shared" si="77"/>
        <v>0</v>
      </c>
      <c r="AE241" t="b">
        <f t="shared" si="77"/>
        <v>0</v>
      </c>
      <c r="AF241" t="b">
        <f t="shared" si="77"/>
        <v>0</v>
      </c>
      <c r="AG241" t="b">
        <f t="shared" si="77"/>
        <v>0</v>
      </c>
      <c r="AH241" t="b">
        <f t="shared" si="77"/>
        <v>0</v>
      </c>
      <c r="AI241" t="b">
        <f t="shared" si="77"/>
        <v>1</v>
      </c>
    </row>
    <row r="242" spans="13:35" ht="12.75">
      <c r="M242" s="3">
        <v>1500</v>
      </c>
      <c r="N242" t="b">
        <f aca="true" t="shared" si="78" ref="N242:V242">OR($N$201=$M221,$N$200=N$204)</f>
        <v>0</v>
      </c>
      <c r="O242" t="b">
        <f t="shared" si="78"/>
        <v>0</v>
      </c>
      <c r="P242" t="b">
        <f t="shared" si="78"/>
        <v>0</v>
      </c>
      <c r="Q242" t="b">
        <f t="shared" si="78"/>
        <v>0</v>
      </c>
      <c r="R242" t="b">
        <f t="shared" si="78"/>
        <v>0</v>
      </c>
      <c r="S242" t="b">
        <f t="shared" si="78"/>
        <v>0</v>
      </c>
      <c r="T242" t="b">
        <f t="shared" si="78"/>
        <v>0</v>
      </c>
      <c r="U242" t="b">
        <f t="shared" si="78"/>
        <v>0</v>
      </c>
      <c r="V242" t="b">
        <f t="shared" si="78"/>
        <v>0</v>
      </c>
      <c r="Z242" s="3">
        <v>1500</v>
      </c>
      <c r="AA242" t="b">
        <f aca="true" t="shared" si="79" ref="AA242:AI242">OR($N$201=$M221,$AA$200=AA$204)</f>
        <v>0</v>
      </c>
      <c r="AB242" t="b">
        <f t="shared" si="79"/>
        <v>0</v>
      </c>
      <c r="AC242" t="b">
        <f t="shared" si="79"/>
        <v>0</v>
      </c>
      <c r="AD242" t="b">
        <f t="shared" si="79"/>
        <v>0</v>
      </c>
      <c r="AE242" t="b">
        <f t="shared" si="79"/>
        <v>0</v>
      </c>
      <c r="AF242" t="b">
        <f t="shared" si="79"/>
        <v>0</v>
      </c>
      <c r="AG242" t="b">
        <f t="shared" si="79"/>
        <v>0</v>
      </c>
      <c r="AH242" t="b">
        <f t="shared" si="79"/>
        <v>0</v>
      </c>
      <c r="AI242" t="b">
        <f t="shared" si="79"/>
        <v>1</v>
      </c>
    </row>
    <row r="243" spans="13:35" ht="12.75">
      <c r="M243" s="3">
        <v>1800</v>
      </c>
      <c r="N243" t="b">
        <f aca="true" t="shared" si="80" ref="N243:V243">OR($N$201=$M222,$N$200=N$204)</f>
        <v>0</v>
      </c>
      <c r="O243" t="b">
        <f t="shared" si="80"/>
        <v>0</v>
      </c>
      <c r="P243" t="b">
        <f t="shared" si="80"/>
        <v>0</v>
      </c>
      <c r="Q243" t="b">
        <f t="shared" si="80"/>
        <v>0</v>
      </c>
      <c r="R243" t="b">
        <f t="shared" si="80"/>
        <v>0</v>
      </c>
      <c r="S243" t="b">
        <f t="shared" si="80"/>
        <v>0</v>
      </c>
      <c r="T243" t="b">
        <f t="shared" si="80"/>
        <v>0</v>
      </c>
      <c r="U243" t="b">
        <f t="shared" si="80"/>
        <v>0</v>
      </c>
      <c r="V243" t="b">
        <f t="shared" si="80"/>
        <v>0</v>
      </c>
      <c r="Z243" s="3">
        <v>1800</v>
      </c>
      <c r="AA243" t="b">
        <f aca="true" t="shared" si="81" ref="AA243:AI243">OR($N$201=$M222,$AA$200=AA$204)</f>
        <v>0</v>
      </c>
      <c r="AB243" t="b">
        <f t="shared" si="81"/>
        <v>0</v>
      </c>
      <c r="AC243" t="b">
        <f t="shared" si="81"/>
        <v>0</v>
      </c>
      <c r="AD243" t="b">
        <f t="shared" si="81"/>
        <v>0</v>
      </c>
      <c r="AE243" t="b">
        <f t="shared" si="81"/>
        <v>0</v>
      </c>
      <c r="AF243" t="b">
        <f t="shared" si="81"/>
        <v>0</v>
      </c>
      <c r="AG243" t="b">
        <f t="shared" si="81"/>
        <v>0</v>
      </c>
      <c r="AH243" t="b">
        <f t="shared" si="81"/>
        <v>0</v>
      </c>
      <c r="AI243" t="b">
        <f t="shared" si="81"/>
        <v>1</v>
      </c>
    </row>
    <row r="244" spans="13:35" ht="12.75">
      <c r="M244" s="3">
        <v>2000</v>
      </c>
      <c r="N244" t="b">
        <f aca="true" t="shared" si="82" ref="N244:V244">OR($N$201=$M223,$N$200=N$204)</f>
        <v>0</v>
      </c>
      <c r="O244" t="b">
        <f t="shared" si="82"/>
        <v>0</v>
      </c>
      <c r="P244" t="b">
        <f t="shared" si="82"/>
        <v>0</v>
      </c>
      <c r="Q244" t="b">
        <f t="shared" si="82"/>
        <v>0</v>
      </c>
      <c r="R244" t="b">
        <f t="shared" si="82"/>
        <v>0</v>
      </c>
      <c r="S244" t="b">
        <f t="shared" si="82"/>
        <v>0</v>
      </c>
      <c r="T244" t="b">
        <f t="shared" si="82"/>
        <v>0</v>
      </c>
      <c r="U244" t="b">
        <f t="shared" si="82"/>
        <v>0</v>
      </c>
      <c r="V244" t="b">
        <f t="shared" si="82"/>
        <v>0</v>
      </c>
      <c r="Z244" s="3">
        <v>2000</v>
      </c>
      <c r="AA244" t="b">
        <f aca="true" t="shared" si="83" ref="AA244:AI244">OR($N$201=$M223,$AA$200=AA$204)</f>
        <v>0</v>
      </c>
      <c r="AB244" t="b">
        <f t="shared" si="83"/>
        <v>0</v>
      </c>
      <c r="AC244" t="b">
        <f t="shared" si="83"/>
        <v>0</v>
      </c>
      <c r="AD244" t="b">
        <f t="shared" si="83"/>
        <v>0</v>
      </c>
      <c r="AE244" t="b">
        <f t="shared" si="83"/>
        <v>0</v>
      </c>
      <c r="AF244" t="b">
        <f t="shared" si="83"/>
        <v>0</v>
      </c>
      <c r="AG244" t="b">
        <f t="shared" si="83"/>
        <v>0</v>
      </c>
      <c r="AH244" t="b">
        <f t="shared" si="83"/>
        <v>0</v>
      </c>
      <c r="AI244" t="b">
        <f t="shared" si="83"/>
        <v>1</v>
      </c>
    </row>
    <row r="246" spans="13:35" ht="12.75">
      <c r="M246" s="3" t="s">
        <v>121</v>
      </c>
      <c r="N246" s="28">
        <v>0</v>
      </c>
      <c r="O246" s="28">
        <v>5</v>
      </c>
      <c r="P246" s="28">
        <v>10</v>
      </c>
      <c r="Q246" s="28">
        <v>15</v>
      </c>
      <c r="R246" s="28">
        <v>20</v>
      </c>
      <c r="S246" s="28">
        <v>25</v>
      </c>
      <c r="T246" s="28">
        <v>30</v>
      </c>
      <c r="U246" s="28">
        <v>35</v>
      </c>
      <c r="V246" s="28">
        <v>40</v>
      </c>
      <c r="Z246" s="3" t="s">
        <v>121</v>
      </c>
      <c r="AA246" s="28">
        <v>0</v>
      </c>
      <c r="AB246" s="28">
        <v>5</v>
      </c>
      <c r="AC246" s="28">
        <v>10</v>
      </c>
      <c r="AD246" s="28">
        <v>15</v>
      </c>
      <c r="AE246" s="28">
        <v>20</v>
      </c>
      <c r="AF246" s="28">
        <v>25</v>
      </c>
      <c r="AG246" s="28">
        <v>30</v>
      </c>
      <c r="AH246" s="28">
        <v>35</v>
      </c>
      <c r="AI246" s="28">
        <v>40</v>
      </c>
    </row>
    <row r="247" spans="13:35" ht="12.75">
      <c r="M247" s="3">
        <v>80</v>
      </c>
      <c r="N247" s="3">
        <f aca="true" t="shared" si="84" ref="N247:V247">N205/$W$224</f>
        <v>0.0001782311840856433</v>
      </c>
      <c r="O247" s="3">
        <f t="shared" si="84"/>
        <v>0.000922585159063081</v>
      </c>
      <c r="P247" s="3">
        <f t="shared" si="84"/>
        <v>0.012185548626923821</v>
      </c>
      <c r="Q247" s="3">
        <f t="shared" si="84"/>
        <v>0.00038385485607656927</v>
      </c>
      <c r="R247" s="3">
        <f t="shared" si="84"/>
        <v>0.00011556456372535816</v>
      </c>
      <c r="S247" s="3">
        <f t="shared" si="84"/>
        <v>5.48662973183956E-05</v>
      </c>
      <c r="T247" s="3">
        <f t="shared" si="84"/>
        <v>3.1924390833740644E-05</v>
      </c>
      <c r="U247" s="3">
        <f t="shared" si="84"/>
        <v>2.085643527908111E-05</v>
      </c>
      <c r="V247" s="3">
        <f t="shared" si="84"/>
        <v>1.4685455425471279E-05</v>
      </c>
      <c r="Z247" s="3">
        <v>80</v>
      </c>
      <c r="AA247" s="3">
        <f>AA205/$AJ$224</f>
        <v>8.192063563853818E-06</v>
      </c>
      <c r="AB247" s="3">
        <f aca="true" t="shared" si="85" ref="AB247:AI247">AB205/$AJ$224</f>
        <v>1.0699838124217234E-05</v>
      </c>
      <c r="AC247" s="3">
        <f t="shared" si="85"/>
        <v>1.4563668557962346E-05</v>
      </c>
      <c r="AD247" s="3">
        <f t="shared" si="85"/>
        <v>2.0971682723465777E-05</v>
      </c>
      <c r="AE247" s="3">
        <f t="shared" si="85"/>
        <v>3.2768254255415274E-05</v>
      </c>
      <c r="AF247" s="3">
        <f t="shared" si="85"/>
        <v>5.825467423184938E-05</v>
      </c>
      <c r="AG247" s="3">
        <f t="shared" si="85"/>
        <v>0.0001310730170216611</v>
      </c>
      <c r="AH247" s="3">
        <f t="shared" si="85"/>
        <v>0.0005242920680866444</v>
      </c>
      <c r="AI247" s="3">
        <f t="shared" si="85"/>
        <v>0.013107301702166112</v>
      </c>
    </row>
    <row r="248" spans="13:35" ht="12.75">
      <c r="M248" s="3">
        <v>90</v>
      </c>
      <c r="N248" s="3">
        <f aca="true" t="shared" si="86" ref="N248:V248">N206/$W$224</f>
        <v>0.0001924043057878241</v>
      </c>
      <c r="O248" s="3">
        <f t="shared" si="86"/>
        <v>0.0009959500520087719</v>
      </c>
      <c r="P248" s="3">
        <f t="shared" si="86"/>
        <v>0.01315455561962968</v>
      </c>
      <c r="Q248" s="3">
        <f t="shared" si="86"/>
        <v>0.00041437937746746173</v>
      </c>
      <c r="R248" s="3">
        <f t="shared" si="86"/>
        <v>0.00012475437321095235</v>
      </c>
      <c r="S248" s="3">
        <f t="shared" si="86"/>
        <v>5.922932005895033E-05</v>
      </c>
      <c r="T248" s="3">
        <f t="shared" si="86"/>
        <v>3.4463050265735285E-05</v>
      </c>
      <c r="U248" s="3">
        <f t="shared" si="86"/>
        <v>2.2514959835266706E-05</v>
      </c>
      <c r="V248" s="3">
        <f t="shared" si="86"/>
        <v>1.5853257502671986E-05</v>
      </c>
      <c r="Z248" s="3">
        <v>90</v>
      </c>
      <c r="AA248" s="3">
        <f aca="true" t="shared" si="87" ref="AA248:AI259">AA206/$AJ$224</f>
        <v>8.843504637300932E-06</v>
      </c>
      <c r="AB248" s="3">
        <f t="shared" si="87"/>
        <v>1.155069993443387E-05</v>
      </c>
      <c r="AC248" s="3">
        <f t="shared" si="87"/>
        <v>1.5721786021868325E-05</v>
      </c>
      <c r="AD248" s="3">
        <f t="shared" si="87"/>
        <v>2.2639371871490386E-05</v>
      </c>
      <c r="AE248" s="3">
        <f t="shared" si="87"/>
        <v>3.537401854920373E-05</v>
      </c>
      <c r="AF248" s="3">
        <f t="shared" si="87"/>
        <v>6.28871440874733E-05</v>
      </c>
      <c r="AG248" s="3">
        <f t="shared" si="87"/>
        <v>0.0001414960741968149</v>
      </c>
      <c r="AH248" s="3">
        <f t="shared" si="87"/>
        <v>0.0005659842967872597</v>
      </c>
      <c r="AI248" s="3">
        <f t="shared" si="87"/>
        <v>0.01414960741968149</v>
      </c>
    </row>
    <row r="249" spans="13:35" ht="12.75">
      <c r="M249" s="3">
        <v>100</v>
      </c>
      <c r="N249" s="3">
        <f aca="true" t="shared" si="88" ref="N249:V249">N207/$W$224</f>
        <v>0.00020833776977133815</v>
      </c>
      <c r="O249" s="3">
        <f t="shared" si="88"/>
        <v>0.0010784270746413127</v>
      </c>
      <c r="P249" s="3">
        <f t="shared" si="88"/>
        <v>0.014243916054294993</v>
      </c>
      <c r="Q249" s="3">
        <f t="shared" si="88"/>
        <v>0.0004486951317815557</v>
      </c>
      <c r="R249" s="3">
        <f t="shared" si="88"/>
        <v>0.00013508558333747943</v>
      </c>
      <c r="S249" s="3">
        <f t="shared" si="88"/>
        <v>6.413424271160664E-05</v>
      </c>
      <c r="T249" s="3">
        <f t="shared" si="88"/>
        <v>3.7317018465265445E-05</v>
      </c>
      <c r="U249" s="3">
        <f t="shared" si="88"/>
        <v>2.4379477888314297E-05</v>
      </c>
      <c r="V249" s="3">
        <f t="shared" si="88"/>
        <v>1.7166103940312277E-05</v>
      </c>
      <c r="Z249" s="3">
        <v>100</v>
      </c>
      <c r="AA249" s="3">
        <f t="shared" si="87"/>
        <v>9.575856556607048E-06</v>
      </c>
      <c r="AB249" s="3">
        <f t="shared" si="87"/>
        <v>1.2507241216792879E-05</v>
      </c>
      <c r="AC249" s="3">
        <f t="shared" si="87"/>
        <v>1.702374498952364E-05</v>
      </c>
      <c r="AD249" s="3">
        <f t="shared" si="87"/>
        <v>2.4514192784914043E-05</v>
      </c>
      <c r="AE249" s="3">
        <f t="shared" si="87"/>
        <v>3.830342622642819E-05</v>
      </c>
      <c r="AF249" s="3">
        <f t="shared" si="87"/>
        <v>6.809497995809456E-05</v>
      </c>
      <c r="AG249" s="3">
        <f t="shared" si="87"/>
        <v>0.00015321370490571276</v>
      </c>
      <c r="AH249" s="3">
        <f t="shared" si="87"/>
        <v>0.0006128548196228511</v>
      </c>
      <c r="AI249" s="3">
        <f t="shared" si="87"/>
        <v>0.015321370490571275</v>
      </c>
    </row>
    <row r="250" spans="13:35" ht="12.75">
      <c r="M250" s="3">
        <v>150</v>
      </c>
      <c r="N250" s="3">
        <f aca="true" t="shared" si="89" ref="N250:V250">N208/$W$224</f>
        <v>0.0003279119488306752</v>
      </c>
      <c r="O250" s="3">
        <f t="shared" si="89"/>
        <v>0.0016973836482243414</v>
      </c>
      <c r="P250" s="3">
        <f t="shared" si="89"/>
        <v>0.02241912389419744</v>
      </c>
      <c r="Q250" s="3">
        <f t="shared" si="89"/>
        <v>0.0007062209375420132</v>
      </c>
      <c r="R250" s="3">
        <f t="shared" si="89"/>
        <v>0.00021261712141652897</v>
      </c>
      <c r="S250" s="3">
        <f t="shared" si="89"/>
        <v>0.0001009436960826855</v>
      </c>
      <c r="T250" s="3">
        <f t="shared" si="89"/>
        <v>5.873489124380046E-05</v>
      </c>
      <c r="U250" s="3">
        <f t="shared" si="89"/>
        <v>3.837192898150773E-05</v>
      </c>
      <c r="V250" s="3">
        <f t="shared" si="89"/>
        <v>2.701848350913916E-05</v>
      </c>
      <c r="Z250" s="3">
        <v>150</v>
      </c>
      <c r="AA250" s="3">
        <f t="shared" si="87"/>
        <v>1.5071860415163198E-05</v>
      </c>
      <c r="AB250" s="3">
        <f t="shared" si="87"/>
        <v>1.9685695236131525E-05</v>
      </c>
      <c r="AC250" s="3">
        <f t="shared" si="87"/>
        <v>2.6794418515845685E-05</v>
      </c>
      <c r="AD250" s="3">
        <f t="shared" si="87"/>
        <v>3.858396266281779E-05</v>
      </c>
      <c r="AE250" s="3">
        <f t="shared" si="87"/>
        <v>6.0287441660652794E-05</v>
      </c>
      <c r="AF250" s="3">
        <f t="shared" si="87"/>
        <v>0.00010717767406338274</v>
      </c>
      <c r="AG250" s="3">
        <f t="shared" si="87"/>
        <v>0.00024114976664261117</v>
      </c>
      <c r="AH250" s="3">
        <f t="shared" si="87"/>
        <v>0.0009645990665704447</v>
      </c>
      <c r="AI250" s="3">
        <f t="shared" si="87"/>
        <v>0.024114976664261118</v>
      </c>
    </row>
    <row r="251" spans="13:35" ht="12.75">
      <c r="M251" s="3">
        <v>200</v>
      </c>
      <c r="N251" s="3">
        <f aca="true" t="shared" si="90" ref="N251:V251">N209/$W$224</f>
        <v>0.0005901230214403121</v>
      </c>
      <c r="O251" s="3">
        <f t="shared" si="90"/>
        <v>0.0030546772406599945</v>
      </c>
      <c r="P251" s="3">
        <f t="shared" si="90"/>
        <v>0.04034632216869939</v>
      </c>
      <c r="Q251" s="3">
        <f t="shared" si="90"/>
        <v>0.0012709425043913388</v>
      </c>
      <c r="R251" s="3">
        <f t="shared" si="90"/>
        <v>0.0003826339922887445</v>
      </c>
      <c r="S251" s="3">
        <f t="shared" si="90"/>
        <v>0.00018166217833808453</v>
      </c>
      <c r="T251" s="3">
        <f t="shared" si="90"/>
        <v>0.000105701581196901</v>
      </c>
      <c r="U251" s="3">
        <f t="shared" si="90"/>
        <v>6.905560700001588E-05</v>
      </c>
      <c r="V251" s="3">
        <f t="shared" si="90"/>
        <v>4.862350756050556E-05</v>
      </c>
      <c r="Z251" s="3">
        <v>200</v>
      </c>
      <c r="AA251" s="3">
        <f t="shared" si="87"/>
        <v>2.7123902738644922E-05</v>
      </c>
      <c r="AB251" s="3">
        <f t="shared" si="87"/>
        <v>3.5427138270883165E-05</v>
      </c>
      <c r="AC251" s="3">
        <f t="shared" si="87"/>
        <v>4.8220271535368743E-05</v>
      </c>
      <c r="AD251" s="3">
        <f t="shared" si="87"/>
        <v>6.943719101093101E-05</v>
      </c>
      <c r="AE251" s="3">
        <f t="shared" si="87"/>
        <v>0.00010849561095457969</v>
      </c>
      <c r="AF251" s="3">
        <f t="shared" si="87"/>
        <v>0.00019288108614147497</v>
      </c>
      <c r="AG251" s="3">
        <f t="shared" si="87"/>
        <v>0.00043398244381831876</v>
      </c>
      <c r="AH251" s="3">
        <f t="shared" si="87"/>
        <v>0.001735929775273275</v>
      </c>
      <c r="AI251" s="3">
        <f t="shared" si="87"/>
        <v>0.043398244381831874</v>
      </c>
    </row>
    <row r="252" spans="13:35" ht="12.75">
      <c r="M252" s="3">
        <v>300</v>
      </c>
      <c r="N252" s="3">
        <f aca="true" t="shared" si="91" ref="N252:V252">N210/$W$224</f>
        <v>0.00587296697693443</v>
      </c>
      <c r="O252" s="3">
        <f t="shared" si="91"/>
        <v>0.030400472287631083</v>
      </c>
      <c r="P252" s="3">
        <f t="shared" si="91"/>
        <v>0.4015308827627148</v>
      </c>
      <c r="Q252" s="3">
        <f t="shared" si="91"/>
        <v>0.012648554770249103</v>
      </c>
      <c r="R252" s="3">
        <f t="shared" si="91"/>
        <v>0.0038080141247153025</v>
      </c>
      <c r="S252" s="3">
        <f t="shared" si="91"/>
        <v>0.0018079212902651594</v>
      </c>
      <c r="T252" s="3">
        <f t="shared" si="91"/>
        <v>0.0010519533609517752</v>
      </c>
      <c r="U252" s="3">
        <f t="shared" si="91"/>
        <v>0.000687248734159536</v>
      </c>
      <c r="V252" s="3">
        <f t="shared" si="91"/>
        <v>0.00048390631076990453</v>
      </c>
      <c r="Z252" s="3">
        <v>300</v>
      </c>
      <c r="AA252" s="3">
        <f t="shared" si="87"/>
        <v>0.0002699399604523903</v>
      </c>
      <c r="AB252" s="3">
        <f t="shared" si="87"/>
        <v>0.00035257464222353025</v>
      </c>
      <c r="AC252" s="3">
        <f t="shared" si="87"/>
        <v>0.00047989326302647176</v>
      </c>
      <c r="AD252" s="3">
        <f t="shared" si="87"/>
        <v>0.0006910462987581192</v>
      </c>
      <c r="AE252" s="3">
        <f t="shared" si="87"/>
        <v>0.0010797598418095613</v>
      </c>
      <c r="AF252" s="3">
        <f t="shared" si="87"/>
        <v>0.001919573052105887</v>
      </c>
      <c r="AG252" s="3">
        <f t="shared" si="87"/>
        <v>0.004319039367238245</v>
      </c>
      <c r="AH252" s="3">
        <f t="shared" si="87"/>
        <v>0.01727615746895298</v>
      </c>
      <c r="AI252" s="3">
        <f t="shared" si="87"/>
        <v>0.43190393672382454</v>
      </c>
    </row>
    <row r="253" spans="13:35" ht="12.75">
      <c r="M253" s="3">
        <v>400</v>
      </c>
      <c r="N253" s="3">
        <f aca="true" t="shared" si="92" ref="N253:V253">N211/$W$224</f>
        <v>0.004404760653224156</v>
      </c>
      <c r="O253" s="3">
        <f t="shared" si="92"/>
        <v>0.022800537564385454</v>
      </c>
      <c r="P253" s="3">
        <f t="shared" si="92"/>
        <v>0.30115058374987935</v>
      </c>
      <c r="Q253" s="3">
        <f t="shared" si="92"/>
        <v>0.009486492362540996</v>
      </c>
      <c r="R253" s="3">
        <f t="shared" si="92"/>
        <v>0.002856033560097278</v>
      </c>
      <c r="S253" s="3">
        <f t="shared" si="92"/>
        <v>0.001355951871475189</v>
      </c>
      <c r="T253" s="3">
        <f t="shared" si="92"/>
        <v>0.0007889713651626786</v>
      </c>
      <c r="U253" s="3">
        <f t="shared" si="92"/>
        <v>0.0005154406954939412</v>
      </c>
      <c r="V253" s="3">
        <f t="shared" si="92"/>
        <v>0.00036293265157072815</v>
      </c>
      <c r="Z253" s="3">
        <v>400</v>
      </c>
      <c r="AA253" s="3">
        <f t="shared" si="87"/>
        <v>0.00020245659837750672</v>
      </c>
      <c r="AB253" s="3">
        <f t="shared" si="87"/>
        <v>0.00026443310808490675</v>
      </c>
      <c r="AC253" s="3">
        <f t="shared" si="87"/>
        <v>0.00035992284156001193</v>
      </c>
      <c r="AD253" s="3">
        <f t="shared" si="87"/>
        <v>0.0005182888918464172</v>
      </c>
      <c r="AE253" s="3">
        <f t="shared" si="87"/>
        <v>0.0008098263935100269</v>
      </c>
      <c r="AF253" s="3">
        <f t="shared" si="87"/>
        <v>0.0014396913662400477</v>
      </c>
      <c r="AG253" s="3">
        <f t="shared" si="87"/>
        <v>0.0032393055740401076</v>
      </c>
      <c r="AH253" s="3">
        <f t="shared" si="87"/>
        <v>0.01295722229616043</v>
      </c>
      <c r="AI253" s="3">
        <f t="shared" si="87"/>
        <v>0.3239305574040108</v>
      </c>
    </row>
    <row r="254" spans="13:35" ht="12.75">
      <c r="M254" s="3">
        <v>500</v>
      </c>
      <c r="N254" s="3">
        <f aca="true" t="shared" si="93" ref="N254:V254">N212/$W$224</f>
        <v>0.0005362424470206837</v>
      </c>
      <c r="O254" s="3">
        <f t="shared" si="93"/>
        <v>0.0027757730826903277</v>
      </c>
      <c r="P254" s="3">
        <f t="shared" si="93"/>
        <v>0.036662542795267865</v>
      </c>
      <c r="Q254" s="3">
        <f t="shared" si="93"/>
        <v>0.0011549004085859766</v>
      </c>
      <c r="R254" s="3">
        <f t="shared" si="93"/>
        <v>0.0003476979898825438</v>
      </c>
      <c r="S254" s="3">
        <f t="shared" si="93"/>
        <v>0.000165075700326623</v>
      </c>
      <c r="T254" s="3">
        <f t="shared" si="93"/>
        <v>9.605060723887507E-05</v>
      </c>
      <c r="U254" s="3">
        <f t="shared" si="93"/>
        <v>6.275055595663219E-05</v>
      </c>
      <c r="V254" s="3">
        <f t="shared" si="93"/>
        <v>4.418398830354979E-05</v>
      </c>
      <c r="Z254" s="3">
        <v>500</v>
      </c>
      <c r="AA254" s="3">
        <f t="shared" si="87"/>
        <v>2.4647382747112717E-05</v>
      </c>
      <c r="AB254" s="3">
        <f t="shared" si="87"/>
        <v>3.2192499914596196E-05</v>
      </c>
      <c r="AC254" s="3">
        <f t="shared" si="87"/>
        <v>4.381756932820038E-05</v>
      </c>
      <c r="AD254" s="3">
        <f t="shared" si="87"/>
        <v>6.309729983260855E-05</v>
      </c>
      <c r="AE254" s="3">
        <f t="shared" si="87"/>
        <v>9.858953098845087E-05</v>
      </c>
      <c r="AF254" s="3">
        <f t="shared" si="87"/>
        <v>0.00017527027731280151</v>
      </c>
      <c r="AG254" s="3">
        <f t="shared" si="87"/>
        <v>0.0003943581239538035</v>
      </c>
      <c r="AH254" s="3">
        <f t="shared" si="87"/>
        <v>0.001577432495815214</v>
      </c>
      <c r="AI254" s="3">
        <f t="shared" si="87"/>
        <v>0.03943581239538035</v>
      </c>
    </row>
    <row r="255" spans="13:35" ht="12.75">
      <c r="M255" s="3">
        <v>600</v>
      </c>
      <c r="N255" s="3">
        <f aca="true" t="shared" si="94" ref="N255:V255">N213/$W$224</f>
        <v>0.0001967080976599636</v>
      </c>
      <c r="O255" s="3">
        <f t="shared" si="94"/>
        <v>0.0010182279408602775</v>
      </c>
      <c r="P255" s="3">
        <f t="shared" si="94"/>
        <v>0.013448803034340873</v>
      </c>
      <c r="Q255" s="3">
        <f t="shared" si="94"/>
        <v>0.00042364841429813095</v>
      </c>
      <c r="R255" s="3">
        <f t="shared" si="94"/>
        <v>0.00012754493891706107</v>
      </c>
      <c r="S255" s="3">
        <f t="shared" si="94"/>
        <v>6.055418992201444E-05</v>
      </c>
      <c r="T255" s="3">
        <f t="shared" si="94"/>
        <v>3.5233936317455826E-05</v>
      </c>
      <c r="U255" s="3">
        <f t="shared" si="94"/>
        <v>2.3018585264769434E-05</v>
      </c>
      <c r="V255" s="3">
        <f t="shared" si="94"/>
        <v>1.6207870776567086E-05</v>
      </c>
      <c r="Z255" s="3">
        <v>600</v>
      </c>
      <c r="AA255" s="3">
        <f t="shared" si="87"/>
        <v>9.041320394195766E-06</v>
      </c>
      <c r="AB255" s="3">
        <f t="shared" si="87"/>
        <v>1.1809071535276104E-05</v>
      </c>
      <c r="AC255" s="3">
        <f t="shared" si="87"/>
        <v>1.607345847857025E-05</v>
      </c>
      <c r="AD255" s="3">
        <f t="shared" si="87"/>
        <v>2.3145780209141162E-05</v>
      </c>
      <c r="AE255" s="3">
        <f t="shared" si="87"/>
        <v>3.6165281576783066E-05</v>
      </c>
      <c r="AF255" s="3">
        <f t="shared" si="87"/>
        <v>6.4293833914281E-05</v>
      </c>
      <c r="AG255" s="3">
        <f t="shared" si="87"/>
        <v>0.00014466112630713226</v>
      </c>
      <c r="AH255" s="3">
        <f t="shared" si="87"/>
        <v>0.0005786445052285291</v>
      </c>
      <c r="AI255" s="3">
        <f t="shared" si="87"/>
        <v>0.014466112630713226</v>
      </c>
    </row>
    <row r="256" spans="13:35" ht="12.75">
      <c r="M256" s="3">
        <v>700</v>
      </c>
      <c r="N256" s="3">
        <f aca="true" t="shared" si="95" ref="N256:V256">N214/$W$224</f>
        <v>0.00010117804517312365</v>
      </c>
      <c r="O256" s="3">
        <f t="shared" si="95"/>
        <v>0.0005237319348946466</v>
      </c>
      <c r="P256" s="3">
        <f t="shared" si="95"/>
        <v>0.0069174762865389355</v>
      </c>
      <c r="Q256" s="3">
        <f t="shared" si="95"/>
        <v>0.00021790622200756858</v>
      </c>
      <c r="R256" s="3">
        <f t="shared" si="95"/>
        <v>6.560354019416776E-05</v>
      </c>
      <c r="S256" s="3">
        <f t="shared" si="95"/>
        <v>3.114642780971023E-05</v>
      </c>
      <c r="T256" s="3">
        <f t="shared" si="95"/>
        <v>1.812279638084304E-05</v>
      </c>
      <c r="U256" s="3">
        <f t="shared" si="95"/>
        <v>1.183975386598567E-05</v>
      </c>
      <c r="V256" s="3">
        <f t="shared" si="95"/>
        <v>8.336620104101712E-06</v>
      </c>
      <c r="Z256" s="3">
        <v>700</v>
      </c>
      <c r="AA256" s="3">
        <f t="shared" si="87"/>
        <v>4.6504599157374245E-06</v>
      </c>
      <c r="AB256" s="3">
        <f t="shared" si="87"/>
        <v>6.074070094024391E-06</v>
      </c>
      <c r="AC256" s="3">
        <f t="shared" si="87"/>
        <v>8.267484294644312E-06</v>
      </c>
      <c r="AD256" s="3">
        <f t="shared" si="87"/>
        <v>1.1905177384287807E-05</v>
      </c>
      <c r="AE256" s="3">
        <f t="shared" si="87"/>
        <v>1.8601839662949698E-05</v>
      </c>
      <c r="AF256" s="3">
        <f t="shared" si="87"/>
        <v>3.306993717857725E-05</v>
      </c>
      <c r="AG256" s="3">
        <f t="shared" si="87"/>
        <v>7.440735865179879E-05</v>
      </c>
      <c r="AH256" s="3">
        <f t="shared" si="87"/>
        <v>0.00029762943460719517</v>
      </c>
      <c r="AI256" s="3">
        <f t="shared" si="87"/>
        <v>0.00744073586517988</v>
      </c>
    </row>
    <row r="257" spans="13:35" ht="12.75">
      <c r="M257" s="3">
        <v>800</v>
      </c>
      <c r="N257" s="3">
        <f aca="true" t="shared" si="96" ref="N257:V257">N215/$W$224</f>
        <v>6.148358012277399E-05</v>
      </c>
      <c r="O257" s="3">
        <f t="shared" si="96"/>
        <v>0.00031825989844785137</v>
      </c>
      <c r="P257" s="3">
        <f t="shared" si="96"/>
        <v>0.00420359186405573</v>
      </c>
      <c r="Q257" s="3">
        <f t="shared" si="96"/>
        <v>0.00013241661901185054</v>
      </c>
      <c r="R257" s="3">
        <f t="shared" si="96"/>
        <v>3.986576843784667E-05</v>
      </c>
      <c r="S257" s="3">
        <f t="shared" si="96"/>
        <v>1.8926970633795193E-05</v>
      </c>
      <c r="T257" s="3">
        <f t="shared" si="96"/>
        <v>1.1012808178134928E-05</v>
      </c>
      <c r="U257" s="3">
        <f t="shared" si="96"/>
        <v>7.194747182629118E-06</v>
      </c>
      <c r="V257" s="3">
        <f t="shared" si="96"/>
        <v>5.0659730502464855E-06</v>
      </c>
      <c r="Z257" s="3">
        <v>800</v>
      </c>
      <c r="AA257" s="3">
        <f t="shared" si="87"/>
        <v>2.8259779515185047E-06</v>
      </c>
      <c r="AB257" s="3">
        <f t="shared" si="87"/>
        <v>3.69107324279968E-06</v>
      </c>
      <c r="AC257" s="3">
        <f t="shared" si="87"/>
        <v>5.023960802699564E-06</v>
      </c>
      <c r="AD257" s="3">
        <f t="shared" si="87"/>
        <v>7.2345035558873714E-06</v>
      </c>
      <c r="AE257" s="3">
        <f t="shared" si="87"/>
        <v>1.1303911806074019E-05</v>
      </c>
      <c r="AF257" s="3">
        <f t="shared" si="87"/>
        <v>2.0095843210798256E-05</v>
      </c>
      <c r="AG257" s="3">
        <f t="shared" si="87"/>
        <v>4.5215647224296076E-05</v>
      </c>
      <c r="AH257" s="3">
        <f t="shared" si="87"/>
        <v>0.0001808625888971843</v>
      </c>
      <c r="AI257" s="3">
        <f t="shared" si="87"/>
        <v>0.004521564722429608</v>
      </c>
    </row>
    <row r="258" spans="13:35" ht="12.75">
      <c r="M258" s="3">
        <v>900</v>
      </c>
      <c r="N258" s="3">
        <f aca="true" t="shared" si="97" ref="N258:V258">N216/$W$224</f>
        <v>4.127713325896514E-05</v>
      </c>
      <c r="O258" s="3">
        <f t="shared" si="97"/>
        <v>0.00021366446477228939</v>
      </c>
      <c r="P258" s="3">
        <f t="shared" si="97"/>
        <v>0.002822090405152901</v>
      </c>
      <c r="Q258" s="3">
        <f t="shared" si="97"/>
        <v>8.889818090845372E-05</v>
      </c>
      <c r="R258" s="3">
        <f t="shared" si="97"/>
        <v>2.676396906286401E-05</v>
      </c>
      <c r="S258" s="3">
        <f t="shared" si="97"/>
        <v>1.2706662290641445E-05</v>
      </c>
      <c r="T258" s="3">
        <f t="shared" si="97"/>
        <v>7.3934723680138746E-06</v>
      </c>
      <c r="U258" s="3">
        <f t="shared" si="97"/>
        <v>4.830208937555719E-06</v>
      </c>
      <c r="V258" s="3">
        <f t="shared" si="97"/>
        <v>3.4010518623637337E-06</v>
      </c>
      <c r="Z258" s="3">
        <v>900</v>
      </c>
      <c r="AA258" s="3">
        <f t="shared" si="87"/>
        <v>1.8972263530977963E-06</v>
      </c>
      <c r="AB258" s="3">
        <f t="shared" si="87"/>
        <v>2.4780099305767134E-06</v>
      </c>
      <c r="AC258" s="3">
        <f t="shared" si="87"/>
        <v>3.372846849951638E-06</v>
      </c>
      <c r="AD258" s="3">
        <f t="shared" si="87"/>
        <v>4.8568994639303584E-06</v>
      </c>
      <c r="AE258" s="3">
        <f t="shared" si="87"/>
        <v>7.588905412391185E-06</v>
      </c>
      <c r="AF258" s="3">
        <f t="shared" si="87"/>
        <v>1.3491387399806551E-05</v>
      </c>
      <c r="AG258" s="3">
        <f t="shared" si="87"/>
        <v>3.035562164956474E-05</v>
      </c>
      <c r="AH258" s="3">
        <f t="shared" si="87"/>
        <v>0.00012142248659825896</v>
      </c>
      <c r="AI258" s="3">
        <f t="shared" si="87"/>
        <v>0.003035562164956474</v>
      </c>
    </row>
    <row r="259" spans="13:35" ht="12.75">
      <c r="M259" s="3">
        <v>1000</v>
      </c>
      <c r="N259" s="3">
        <f>N217/$W$224</f>
        <v>2.9612504515529438E-05</v>
      </c>
      <c r="O259" s="3">
        <f aca="true" t="shared" si="98" ref="O259:V259">O217/$W$224</f>
        <v>0.00015328438358793686</v>
      </c>
      <c r="P259" s="3">
        <f t="shared" si="98"/>
        <v>0.002024587423296211</v>
      </c>
      <c r="Q259" s="3">
        <f t="shared" si="98"/>
        <v>6.377617764921154E-05</v>
      </c>
      <c r="R259" s="3">
        <f t="shared" si="98"/>
        <v>1.9200658867350336E-05</v>
      </c>
      <c r="S259" s="3">
        <f t="shared" si="98"/>
        <v>9.115848528003153E-06</v>
      </c>
      <c r="T259" s="3">
        <f t="shared" si="98"/>
        <v>5.30412886257552E-06</v>
      </c>
      <c r="U259" s="3">
        <f t="shared" si="98"/>
        <v>3.4652257238153316E-06</v>
      </c>
      <c r="V259" s="3">
        <f t="shared" si="98"/>
        <v>2.439938427892675E-06</v>
      </c>
      <c r="Z259" s="3">
        <v>1000</v>
      </c>
      <c r="AA259" s="3">
        <f t="shared" si="87"/>
        <v>1.3610834743686478E-06</v>
      </c>
      <c r="AB259" s="3">
        <f aca="true" t="shared" si="99" ref="AB259:AI259">AB217/$AJ$224</f>
        <v>1.7777416808080298E-06</v>
      </c>
      <c r="AC259" s="3">
        <f t="shared" si="99"/>
        <v>2.4197039544331515E-06</v>
      </c>
      <c r="AD259" s="3">
        <f t="shared" si="99"/>
        <v>3.484373694383738E-06</v>
      </c>
      <c r="AE259" s="3">
        <f t="shared" si="99"/>
        <v>5.444333897474591E-06</v>
      </c>
      <c r="AF259" s="3">
        <f t="shared" si="99"/>
        <v>9.678815817732606E-06</v>
      </c>
      <c r="AG259" s="3">
        <f t="shared" si="99"/>
        <v>2.1777335589898364E-05</v>
      </c>
      <c r="AH259" s="3">
        <f t="shared" si="99"/>
        <v>8.710934235959346E-05</v>
      </c>
      <c r="AI259" s="3">
        <f t="shared" si="99"/>
        <v>0.002177733558989836</v>
      </c>
    </row>
    <row r="260" spans="13:35" ht="12.75">
      <c r="M260" s="3">
        <v>1100</v>
      </c>
      <c r="N260" s="3">
        <f aca="true" t="shared" si="100" ref="N260:V265">N218/$W$224</f>
        <v>2.2274893580491855E-05</v>
      </c>
      <c r="O260" s="3">
        <f t="shared" si="100"/>
        <v>0.0001153024165916802</v>
      </c>
      <c r="P260" s="3">
        <f t="shared" si="100"/>
        <v>0.001522919798110127</v>
      </c>
      <c r="Q260" s="3">
        <f t="shared" si="100"/>
        <v>4.7973232705181455E-05</v>
      </c>
      <c r="R260" s="3">
        <f t="shared" si="100"/>
        <v>1.4442974005162745E-05</v>
      </c>
      <c r="S260" s="3">
        <f t="shared" si="100"/>
        <v>6.857054449773654E-06</v>
      </c>
      <c r="T260" s="3">
        <f t="shared" si="100"/>
        <v>3.989831589189803E-06</v>
      </c>
      <c r="U260" s="3">
        <f t="shared" si="100"/>
        <v>2.6065858154581475E-06</v>
      </c>
      <c r="V260" s="3">
        <f t="shared" si="100"/>
        <v>1.8353519809768184E-06</v>
      </c>
      <c r="Z260" s="3">
        <v>1100</v>
      </c>
      <c r="AA260" s="3">
        <f aca="true" t="shared" si="101" ref="AA260:AI260">AA218/$AJ$224</f>
        <v>1.0238238893244689E-06</v>
      </c>
      <c r="AB260" s="3">
        <f t="shared" si="101"/>
        <v>1.3372393656482856E-06</v>
      </c>
      <c r="AC260" s="3">
        <f t="shared" si="101"/>
        <v>1.8201313587990557E-06</v>
      </c>
      <c r="AD260" s="3">
        <f t="shared" si="101"/>
        <v>2.62098915667064E-06</v>
      </c>
      <c r="AE260" s="3">
        <f t="shared" si="101"/>
        <v>4.0952955572978755E-06</v>
      </c>
      <c r="AF260" s="3">
        <f t="shared" si="101"/>
        <v>7.280525435196223E-06</v>
      </c>
      <c r="AG260" s="3">
        <f t="shared" si="101"/>
        <v>1.6381182229191502E-05</v>
      </c>
      <c r="AH260" s="3">
        <f t="shared" si="101"/>
        <v>6.552472891676601E-05</v>
      </c>
      <c r="AI260" s="3">
        <f t="shared" si="101"/>
        <v>0.00163811822291915</v>
      </c>
    </row>
    <row r="261" spans="13:35" ht="12.75">
      <c r="M261" s="3">
        <v>1200</v>
      </c>
      <c r="N261" s="3">
        <f t="shared" si="100"/>
        <v>1.7361498973689273E-05</v>
      </c>
      <c r="O261" s="3">
        <f t="shared" si="100"/>
        <v>8.986901688605714E-05</v>
      </c>
      <c r="P261" s="3">
        <f t="shared" si="100"/>
        <v>0.0011869942460715547</v>
      </c>
      <c r="Q261" s="3">
        <f t="shared" si="100"/>
        <v>3.739130009155236E-05</v>
      </c>
      <c r="R261" s="3">
        <f t="shared" si="100"/>
        <v>1.1257143719297489E-05</v>
      </c>
      <c r="S261" s="3">
        <f t="shared" si="100"/>
        <v>5.344525816120555E-06</v>
      </c>
      <c r="T261" s="3">
        <f t="shared" si="100"/>
        <v>3.109754791447235E-06</v>
      </c>
      <c r="U261" s="3">
        <f t="shared" si="100"/>
        <v>2.0316252823556867E-06</v>
      </c>
      <c r="V261" s="3">
        <f t="shared" si="100"/>
        <v>1.430510157947251E-06</v>
      </c>
      <c r="Z261" s="3">
        <v>1200</v>
      </c>
      <c r="AA261" s="3">
        <f aca="true" t="shared" si="102" ref="AA261:AI261">AA219/$AJ$224</f>
        <v>7.979888810473423E-07</v>
      </c>
      <c r="AB261" s="3">
        <f t="shared" si="102"/>
        <v>1.0422711915720388E-06</v>
      </c>
      <c r="AC261" s="3">
        <f t="shared" si="102"/>
        <v>1.4186468996397193E-06</v>
      </c>
      <c r="AD261" s="3">
        <f t="shared" si="102"/>
        <v>2.042851535481196E-06</v>
      </c>
      <c r="AE261" s="3">
        <f t="shared" si="102"/>
        <v>3.191955524189369E-06</v>
      </c>
      <c r="AF261" s="3">
        <f t="shared" si="102"/>
        <v>5.674587598558877E-06</v>
      </c>
      <c r="AG261" s="3">
        <f t="shared" si="102"/>
        <v>1.2767822096757477E-05</v>
      </c>
      <c r="AH261" s="3">
        <f t="shared" si="102"/>
        <v>5.1071288387029907E-05</v>
      </c>
      <c r="AI261" s="3">
        <f t="shared" si="102"/>
        <v>0.0012767822096757476</v>
      </c>
    </row>
    <row r="262" spans="13:35" ht="12.75">
      <c r="M262" s="3">
        <v>1300</v>
      </c>
      <c r="N262" s="3">
        <f t="shared" si="100"/>
        <v>1.3911131374487059E-05</v>
      </c>
      <c r="O262" s="3">
        <f t="shared" si="100"/>
        <v>7.200874200393291E-05</v>
      </c>
      <c r="P262" s="3">
        <f t="shared" si="100"/>
        <v>0.0009510948866158167</v>
      </c>
      <c r="Q262" s="3">
        <f t="shared" si="100"/>
        <v>2.996027524033101E-05</v>
      </c>
      <c r="R262" s="3">
        <f t="shared" si="100"/>
        <v>9.019935745061548E-06</v>
      </c>
      <c r="S262" s="3">
        <f t="shared" si="100"/>
        <v>4.282372211930723E-06</v>
      </c>
      <c r="T262" s="3">
        <f t="shared" si="100"/>
        <v>2.4917322814016447E-06</v>
      </c>
      <c r="U262" s="3">
        <f t="shared" si="100"/>
        <v>1.6278667095168273E-06</v>
      </c>
      <c r="V262" s="3">
        <f t="shared" si="100"/>
        <v>1.1462152415468386E-06</v>
      </c>
      <c r="Z262" s="3">
        <v>1300</v>
      </c>
      <c r="AA262" s="3">
        <f aca="true" t="shared" si="103" ref="AA262:AI262">AA220/$AJ$224</f>
        <v>6.393991772514897E-07</v>
      </c>
      <c r="AB262" s="3">
        <f t="shared" si="103"/>
        <v>8.35133619267252E-07</v>
      </c>
      <c r="AC262" s="3">
        <f t="shared" si="103"/>
        <v>1.136709648447093E-06</v>
      </c>
      <c r="AD262" s="3">
        <f t="shared" si="103"/>
        <v>1.6368618937638135E-06</v>
      </c>
      <c r="AE262" s="3">
        <f t="shared" si="103"/>
        <v>2.557596709005959E-06</v>
      </c>
      <c r="AF262" s="3">
        <f t="shared" si="103"/>
        <v>4.546838593788372E-06</v>
      </c>
      <c r="AG262" s="3">
        <f t="shared" si="103"/>
        <v>1.0230386836023836E-05</v>
      </c>
      <c r="AH262" s="3">
        <f t="shared" si="103"/>
        <v>4.0921547344095344E-05</v>
      </c>
      <c r="AI262" s="3">
        <f t="shared" si="103"/>
        <v>0.0010230386836023835</v>
      </c>
    </row>
    <row r="263" spans="13:35" ht="12.75">
      <c r="M263" s="3">
        <v>1500</v>
      </c>
      <c r="N263" s="3">
        <f t="shared" si="100"/>
        <v>9.505671935363015E-06</v>
      </c>
      <c r="O263" s="3">
        <f t="shared" si="100"/>
        <v>4.920458728633207E-05</v>
      </c>
      <c r="P263" s="3">
        <f t="shared" si="100"/>
        <v>0.0006498965273343628</v>
      </c>
      <c r="Q263" s="3">
        <f t="shared" si="100"/>
        <v>2.047227790904728E-05</v>
      </c>
      <c r="R263" s="3">
        <f t="shared" si="100"/>
        <v>6.163449094288404E-06</v>
      </c>
      <c r="S263" s="3">
        <f t="shared" si="100"/>
        <v>2.926205227734706E-06</v>
      </c>
      <c r="T263" s="3">
        <f t="shared" si="100"/>
        <v>1.702635751193963E-06</v>
      </c>
      <c r="U263" s="3">
        <f t="shared" si="100"/>
        <v>1.1123442427943004E-06</v>
      </c>
      <c r="V263" s="3">
        <f t="shared" si="100"/>
        <v>7.832250131315343E-07</v>
      </c>
      <c r="Z263" s="3">
        <v>1500</v>
      </c>
      <c r="AA263" s="3">
        <f aca="true" t="shared" si="104" ref="AA263:AI263">AA221/$AJ$224</f>
        <v>4.369104604849437E-07</v>
      </c>
      <c r="AB263" s="3">
        <f t="shared" si="104"/>
        <v>5.706585606333959E-07</v>
      </c>
      <c r="AC263" s="3">
        <f t="shared" si="104"/>
        <v>7.76729707528789E-07</v>
      </c>
      <c r="AD263" s="3">
        <f t="shared" si="104"/>
        <v>1.118490778841456E-06</v>
      </c>
      <c r="AE263" s="3">
        <f t="shared" si="104"/>
        <v>1.7476418419397749E-06</v>
      </c>
      <c r="AF263" s="3">
        <f t="shared" si="104"/>
        <v>3.106918830115156E-06</v>
      </c>
      <c r="AG263" s="3">
        <f t="shared" si="104"/>
        <v>6.990567367759099E-06</v>
      </c>
      <c r="AH263" s="3">
        <f t="shared" si="104"/>
        <v>2.7962269471036398E-05</v>
      </c>
      <c r="AI263" s="3">
        <f t="shared" si="104"/>
        <v>0.00069905673677591</v>
      </c>
    </row>
    <row r="264" spans="13:35" ht="12.75">
      <c r="M264" s="3">
        <v>1800</v>
      </c>
      <c r="N264" s="3">
        <f t="shared" si="100"/>
        <v>5.9868984705467445E-06</v>
      </c>
      <c r="O264" s="3">
        <f t="shared" si="100"/>
        <v>3.0990220404358535E-05</v>
      </c>
      <c r="P264" s="3">
        <f t="shared" si="100"/>
        <v>0.00040932030391633184</v>
      </c>
      <c r="Q264" s="3">
        <f t="shared" si="100"/>
        <v>1.2893927976444763E-05</v>
      </c>
      <c r="R264" s="3">
        <f t="shared" si="100"/>
        <v>3.881886962521052E-06</v>
      </c>
      <c r="S264" s="3">
        <f t="shared" si="100"/>
        <v>1.8429937117077417E-06</v>
      </c>
      <c r="T264" s="3">
        <f t="shared" si="100"/>
        <v>1.072360527907495E-06</v>
      </c>
      <c r="U264" s="3">
        <f t="shared" si="100"/>
        <v>7.005808838333689E-07</v>
      </c>
      <c r="V264" s="3">
        <f t="shared" si="100"/>
        <v>4.932937581999627E-07</v>
      </c>
      <c r="Z264" s="3">
        <v>1800</v>
      </c>
      <c r="AA264" s="3">
        <f aca="true" t="shared" si="105" ref="AA264:AI264">AA222/$AJ$224</f>
        <v>2.751766088110098E-07</v>
      </c>
      <c r="AB264" s="3">
        <f t="shared" si="105"/>
        <v>3.5941434620213526E-07</v>
      </c>
      <c r="AC264" s="3">
        <f t="shared" si="105"/>
        <v>4.892028601084618E-07</v>
      </c>
      <c r="AD264" s="3">
        <f t="shared" si="105"/>
        <v>7.044521185561851E-07</v>
      </c>
      <c r="AE264" s="3">
        <f t="shared" si="105"/>
        <v>1.1007064352440391E-06</v>
      </c>
      <c r="AF264" s="3">
        <f t="shared" si="105"/>
        <v>1.9568114404338474E-06</v>
      </c>
      <c r="AG264" s="3">
        <f t="shared" si="105"/>
        <v>4.4028257409761566E-06</v>
      </c>
      <c r="AH264" s="3">
        <f t="shared" si="105"/>
        <v>1.7611302963904626E-05</v>
      </c>
      <c r="AI264" s="3">
        <f t="shared" si="105"/>
        <v>0.00044028257409761565</v>
      </c>
    </row>
    <row r="265" spans="13:35" ht="12.75">
      <c r="M265" s="3">
        <v>2000</v>
      </c>
      <c r="N265" s="3">
        <f t="shared" si="100"/>
        <v>4.626260171012318E-06</v>
      </c>
      <c r="O265" s="3">
        <f t="shared" si="100"/>
        <v>2.3947094318184457E-05</v>
      </c>
      <c r="P265" s="3">
        <f t="shared" si="100"/>
        <v>0.0003162943598443639</v>
      </c>
      <c r="Q265" s="3">
        <f t="shared" si="100"/>
        <v>9.963533829542356E-06</v>
      </c>
      <c r="R265" s="3">
        <f t="shared" si="100"/>
        <v>2.999653181264504E-06</v>
      </c>
      <c r="S265" s="3">
        <f t="shared" si="100"/>
        <v>1.424137797867323E-06</v>
      </c>
      <c r="T265" s="3">
        <f t="shared" si="100"/>
        <v>8.286458879552589E-07</v>
      </c>
      <c r="U265" s="3">
        <f t="shared" si="100"/>
        <v>5.413603479991765E-07</v>
      </c>
      <c r="V265" s="3">
        <f t="shared" si="100"/>
        <v>3.81183224902937E-07</v>
      </c>
      <c r="Z265" s="3">
        <v>2000</v>
      </c>
      <c r="AA265" s="3">
        <f aca="true" t="shared" si="106" ref="AA265:AI265">AA223/$AJ$224</f>
        <v>2.126374101046604E-07</v>
      </c>
      <c r="AB265" s="3">
        <f t="shared" si="106"/>
        <v>2.777304948305768E-07</v>
      </c>
      <c r="AC265" s="3">
        <f t="shared" si="106"/>
        <v>3.780220624082852E-07</v>
      </c>
      <c r="AD265" s="3">
        <f t="shared" si="106"/>
        <v>5.443517698679306E-07</v>
      </c>
      <c r="AE265" s="3">
        <f t="shared" si="106"/>
        <v>8.505496404186416E-07</v>
      </c>
      <c r="AF265" s="3">
        <f t="shared" si="106"/>
        <v>1.5120882496331408E-06</v>
      </c>
      <c r="AG265" s="3">
        <f t="shared" si="106"/>
        <v>3.4021985616745664E-06</v>
      </c>
      <c r="AH265" s="3">
        <f t="shared" si="106"/>
        <v>1.3608794246698266E-05</v>
      </c>
      <c r="AI265" s="3">
        <f t="shared" si="106"/>
        <v>0.00034021985616745665</v>
      </c>
    </row>
    <row r="266" spans="23:36" ht="12.75">
      <c r="W266">
        <f>SUM(N247:V265)</f>
        <v>0.999999999999999</v>
      </c>
      <c r="AJ266">
        <f>SUM(AA247:AI265)</f>
        <v>1.0000000000000002</v>
      </c>
    </row>
    <row r="267" spans="13:35" ht="12.75">
      <c r="M267" s="3" t="s">
        <v>121</v>
      </c>
      <c r="N267" s="28">
        <v>0</v>
      </c>
      <c r="O267" s="28">
        <v>5</v>
      </c>
      <c r="P267" s="28">
        <v>10</v>
      </c>
      <c r="Q267" s="28">
        <v>15</v>
      </c>
      <c r="R267" s="28">
        <v>20</v>
      </c>
      <c r="S267" s="28">
        <v>25</v>
      </c>
      <c r="T267" s="28">
        <v>30</v>
      </c>
      <c r="U267" s="28">
        <v>35</v>
      </c>
      <c r="V267" s="28">
        <v>40</v>
      </c>
      <c r="Z267" s="3" t="s">
        <v>121</v>
      </c>
      <c r="AA267" s="28">
        <v>0</v>
      </c>
      <c r="AB267" s="28">
        <v>5</v>
      </c>
      <c r="AC267" s="28">
        <v>10</v>
      </c>
      <c r="AD267" s="28">
        <v>15</v>
      </c>
      <c r="AE267" s="28">
        <v>20</v>
      </c>
      <c r="AF267" s="28">
        <v>25</v>
      </c>
      <c r="AG267" s="28">
        <v>30</v>
      </c>
      <c r="AH267" s="28">
        <v>35</v>
      </c>
      <c r="AI267" s="28">
        <v>40</v>
      </c>
    </row>
    <row r="268" spans="13:35" ht="12.75">
      <c r="M268" s="3">
        <v>80</v>
      </c>
      <c r="N268" s="3">
        <f aca="true" t="shared" si="107" ref="N268:V268">N247*N180</f>
        <v>0.0035646236817128657</v>
      </c>
      <c r="O268" s="3">
        <f t="shared" si="107"/>
        <v>0.013838777385946216</v>
      </c>
      <c r="P268" s="3">
        <f t="shared" si="107"/>
        <v>0.12185548626923821</v>
      </c>
      <c r="Q268" s="3">
        <f t="shared" si="107"/>
        <v>0.003070838848612554</v>
      </c>
      <c r="R268" s="3">
        <f t="shared" si="107"/>
        <v>0.0006356051004894699</v>
      </c>
      <c r="S268" s="3">
        <f t="shared" si="107"/>
        <v>0.0002194651892735824</v>
      </c>
      <c r="T268" s="3">
        <f t="shared" si="107"/>
        <v>8.619585525109974E-05</v>
      </c>
      <c r="U268" s="3">
        <f t="shared" si="107"/>
        <v>3.7541583502346E-05</v>
      </c>
      <c r="V268" s="3">
        <f t="shared" si="107"/>
        <v>1.4685455425471279E-05</v>
      </c>
      <c r="Z268" s="3">
        <v>80</v>
      </c>
      <c r="AA268" s="3">
        <f aca="true" t="shared" si="108" ref="AA268:AI268">AA247*AA180</f>
        <v>0.00016384127127707637</v>
      </c>
      <c r="AB268" s="3">
        <f t="shared" si="108"/>
        <v>0.0001604975718632585</v>
      </c>
      <c r="AC268" s="3">
        <f t="shared" si="108"/>
        <v>0.00014563668557962347</v>
      </c>
      <c r="AD268" s="3">
        <f t="shared" si="108"/>
        <v>0.00016777346178772622</v>
      </c>
      <c r="AE268" s="3">
        <f t="shared" si="108"/>
        <v>0.000180225398404784</v>
      </c>
      <c r="AF268" s="3">
        <f t="shared" si="108"/>
        <v>0.00023301869692739753</v>
      </c>
      <c r="AG268" s="3">
        <f t="shared" si="108"/>
        <v>0.000353897145958485</v>
      </c>
      <c r="AH268" s="3">
        <f t="shared" si="108"/>
        <v>0.0009437257225559599</v>
      </c>
      <c r="AI268" s="3">
        <f t="shared" si="108"/>
        <v>0.013107301702166112</v>
      </c>
    </row>
    <row r="269" spans="13:35" ht="12.75">
      <c r="M269" s="3">
        <v>90</v>
      </c>
      <c r="N269" s="3">
        <f aca="true" t="shared" si="109" ref="N269:V269">N248*N181</f>
        <v>0.004425299033119954</v>
      </c>
      <c r="O269" s="3">
        <f t="shared" si="109"/>
        <v>0.017927100936157892</v>
      </c>
      <c r="P269" s="3">
        <f t="shared" si="109"/>
        <v>0.15785466743555615</v>
      </c>
      <c r="Q269" s="3">
        <f t="shared" si="109"/>
        <v>0.004143793774674618</v>
      </c>
      <c r="R269" s="3">
        <f t="shared" si="109"/>
        <v>0.0008732806124766665</v>
      </c>
      <c r="S269" s="3">
        <f t="shared" si="109"/>
        <v>0.00029614660029475163</v>
      </c>
      <c r="T269" s="3">
        <f t="shared" si="109"/>
        <v>0.00011717437090349997</v>
      </c>
      <c r="U269" s="3">
        <f t="shared" si="109"/>
        <v>4.7281415654060084E-05</v>
      </c>
      <c r="V269" s="3">
        <f t="shared" si="109"/>
        <v>1.7438583252939186E-05</v>
      </c>
      <c r="Z269" s="3">
        <v>90</v>
      </c>
      <c r="AA269" s="3">
        <f aca="true" t="shared" si="110" ref="AA269:AI269">AA248*AA181</f>
        <v>0.00020340060665792145</v>
      </c>
      <c r="AB269" s="3">
        <f t="shared" si="110"/>
        <v>0.00020791259881980967</v>
      </c>
      <c r="AC269" s="3">
        <f t="shared" si="110"/>
        <v>0.00018866143226241988</v>
      </c>
      <c r="AD269" s="3">
        <f t="shared" si="110"/>
        <v>0.00022639371871490386</v>
      </c>
      <c r="AE269" s="3">
        <f t="shared" si="110"/>
        <v>0.0002476181298444261</v>
      </c>
      <c r="AF269" s="3">
        <f t="shared" si="110"/>
        <v>0.0003144357204373665</v>
      </c>
      <c r="AG269" s="3">
        <f t="shared" si="110"/>
        <v>0.0004810866522691707</v>
      </c>
      <c r="AH269" s="3">
        <f t="shared" si="110"/>
        <v>0.0011885670232532452</v>
      </c>
      <c r="AI269" s="3">
        <f t="shared" si="110"/>
        <v>0.01556456816164964</v>
      </c>
    </row>
    <row r="270" spans="13:35" ht="12.75">
      <c r="M270" s="3">
        <v>100</v>
      </c>
      <c r="N270" s="3">
        <f aca="true" t="shared" si="111" ref="N270:V270">N249*N182</f>
        <v>0.0058334575535974684</v>
      </c>
      <c r="O270" s="3">
        <f t="shared" si="111"/>
        <v>0.022646968567467566</v>
      </c>
      <c r="P270" s="3">
        <f t="shared" si="111"/>
        <v>0.22790265686871988</v>
      </c>
      <c r="Q270" s="3">
        <f t="shared" si="111"/>
        <v>0.004935646449597113</v>
      </c>
      <c r="R270" s="3">
        <f t="shared" si="111"/>
        <v>0.0013508558333747943</v>
      </c>
      <c r="S270" s="3">
        <f t="shared" si="111"/>
        <v>0.0003848054562696398</v>
      </c>
      <c r="T270" s="3">
        <f t="shared" si="111"/>
        <v>0.00016419488124716798</v>
      </c>
      <c r="U270" s="3">
        <f t="shared" si="111"/>
        <v>6.338664250961717E-05</v>
      </c>
      <c r="V270" s="3">
        <f t="shared" si="111"/>
        <v>2.918237669853087E-05</v>
      </c>
      <c r="Z270" s="3">
        <v>100</v>
      </c>
      <c r="AA270" s="3">
        <f aca="true" t="shared" si="112" ref="AA270:AI270">AA249*AA182</f>
        <v>0.00026812398358499735</v>
      </c>
      <c r="AB270" s="3">
        <f t="shared" si="112"/>
        <v>0.00026265206555265043</v>
      </c>
      <c r="AC270" s="3">
        <f t="shared" si="112"/>
        <v>0.00027237991983237824</v>
      </c>
      <c r="AD270" s="3">
        <f t="shared" si="112"/>
        <v>0.00026965612063405446</v>
      </c>
      <c r="AE270" s="3">
        <f t="shared" si="112"/>
        <v>0.0003830342622642819</v>
      </c>
      <c r="AF270" s="3">
        <f t="shared" si="112"/>
        <v>0.00040856987974856735</v>
      </c>
      <c r="AG270" s="3">
        <f t="shared" si="112"/>
        <v>0.0006741403015851363</v>
      </c>
      <c r="AH270" s="3">
        <f t="shared" si="112"/>
        <v>0.0015934225310194128</v>
      </c>
      <c r="AI270" s="3">
        <f t="shared" si="112"/>
        <v>0.026046329833971166</v>
      </c>
    </row>
    <row r="271" spans="13:35" ht="12.75">
      <c r="M271" s="3">
        <v>150</v>
      </c>
      <c r="N271" s="3">
        <f aca="true" t="shared" si="113" ref="N271:V271">N250*N183</f>
        <v>0.019674716929840512</v>
      </c>
      <c r="O271" s="3">
        <f t="shared" si="113"/>
        <v>0.07638226417009536</v>
      </c>
      <c r="P271" s="3">
        <f t="shared" si="113"/>
        <v>0.7846693362969104</v>
      </c>
      <c r="Q271" s="3">
        <f t="shared" si="113"/>
        <v>0.018361744376092344</v>
      </c>
      <c r="R271" s="3">
        <f t="shared" si="113"/>
        <v>0.0042523424283305794</v>
      </c>
      <c r="S271" s="3">
        <f t="shared" si="113"/>
        <v>0.001413211745157597</v>
      </c>
      <c r="T271" s="3">
        <f t="shared" si="113"/>
        <v>0.000646083803681805</v>
      </c>
      <c r="U271" s="3">
        <f t="shared" si="113"/>
        <v>0.0002686035028705541</v>
      </c>
      <c r="V271" s="3">
        <f t="shared" si="113"/>
        <v>0.00013509241754569581</v>
      </c>
      <c r="Z271" s="3">
        <v>150</v>
      </c>
      <c r="AA271" s="3">
        <f aca="true" t="shared" si="114" ref="AA271:AI271">AA250*AA183</f>
        <v>0.0009043116249097919</v>
      </c>
      <c r="AB271" s="3">
        <f t="shared" si="114"/>
        <v>0.0008858562856259186</v>
      </c>
      <c r="AC271" s="3">
        <f t="shared" si="114"/>
        <v>0.000937804648054599</v>
      </c>
      <c r="AD271" s="3">
        <f t="shared" si="114"/>
        <v>0.0010031830292332625</v>
      </c>
      <c r="AE271" s="3">
        <f t="shared" si="114"/>
        <v>0.0012057488332130558</v>
      </c>
      <c r="AF271" s="3">
        <f t="shared" si="114"/>
        <v>0.0015004874368873583</v>
      </c>
      <c r="AG271" s="3">
        <f t="shared" si="114"/>
        <v>0.002652647433068723</v>
      </c>
      <c r="AH271" s="3">
        <f t="shared" si="114"/>
        <v>0.006752193465993113</v>
      </c>
      <c r="AI271" s="3">
        <f t="shared" si="114"/>
        <v>0.12057488332130559</v>
      </c>
    </row>
    <row r="272" spans="13:35" ht="12.75">
      <c r="M272" s="3">
        <v>200</v>
      </c>
      <c r="N272" s="3">
        <f aca="true" t="shared" si="115" ref="N272:V272">N251*N184</f>
        <v>0.05311107192962809</v>
      </c>
      <c r="O272" s="3">
        <f t="shared" si="115"/>
        <v>0.2138274068461996</v>
      </c>
      <c r="P272" s="3">
        <f t="shared" si="115"/>
        <v>2.4207793301219636</v>
      </c>
      <c r="Q272" s="3">
        <f t="shared" si="115"/>
        <v>0.05592147019321891</v>
      </c>
      <c r="R272" s="3">
        <f t="shared" si="115"/>
        <v>0.01186165376095108</v>
      </c>
      <c r="S272" s="3">
        <f t="shared" si="115"/>
        <v>0.004359892280114029</v>
      </c>
      <c r="T272" s="3">
        <f t="shared" si="115"/>
        <v>0.002008330042741119</v>
      </c>
      <c r="U272" s="3">
        <f t="shared" si="115"/>
        <v>0.0008286672840001905</v>
      </c>
      <c r="V272" s="3">
        <f t="shared" si="115"/>
        <v>0.00043761156804455006</v>
      </c>
      <c r="Z272" s="3">
        <v>200</v>
      </c>
      <c r="AA272" s="3">
        <f aca="true" t="shared" si="116" ref="AA272:AI272">AA251*AA184</f>
        <v>0.002441151246478043</v>
      </c>
      <c r="AB272" s="3">
        <f t="shared" si="116"/>
        <v>0.0024798996789618215</v>
      </c>
      <c r="AC272" s="3">
        <f t="shared" si="116"/>
        <v>0.0028932162921221248</v>
      </c>
      <c r="AD272" s="3">
        <f t="shared" si="116"/>
        <v>0.0030552364044809646</v>
      </c>
      <c r="AE272" s="3">
        <f t="shared" si="116"/>
        <v>0.0033633639395919705</v>
      </c>
      <c r="AF272" s="3">
        <f t="shared" si="116"/>
        <v>0.004629146067395399</v>
      </c>
      <c r="AG272" s="3">
        <f t="shared" si="116"/>
        <v>0.008245666432548057</v>
      </c>
      <c r="AH272" s="3">
        <f t="shared" si="116"/>
        <v>0.0208311573032793</v>
      </c>
      <c r="AI272" s="3">
        <f t="shared" si="116"/>
        <v>0.39058419943648687</v>
      </c>
    </row>
    <row r="273" spans="13:35" ht="12.75">
      <c r="M273" s="3">
        <v>300</v>
      </c>
      <c r="N273" s="3">
        <f aca="true" t="shared" si="117" ref="N273:V273">N252*N185</f>
        <v>0.9984043860788532</v>
      </c>
      <c r="O273" s="3">
        <f t="shared" si="117"/>
        <v>3.64805667451573</v>
      </c>
      <c r="P273" s="3">
        <f t="shared" si="117"/>
        <v>40.15308827627148</v>
      </c>
      <c r="Q273" s="3">
        <f t="shared" si="117"/>
        <v>1.0118843816199283</v>
      </c>
      <c r="R273" s="3">
        <f t="shared" si="117"/>
        <v>0.23609687573234875</v>
      </c>
      <c r="S273" s="3">
        <f t="shared" si="117"/>
        <v>0.08678022193272765</v>
      </c>
      <c r="T273" s="3">
        <f t="shared" si="117"/>
        <v>0.03681836763331213</v>
      </c>
      <c r="U273" s="3">
        <f t="shared" si="117"/>
        <v>0.018555715822307473</v>
      </c>
      <c r="V273" s="3">
        <f t="shared" si="117"/>
        <v>0.00967812621539809</v>
      </c>
      <c r="Z273" s="3">
        <v>300</v>
      </c>
      <c r="AA273" s="3">
        <f aca="true" t="shared" si="118" ref="AA273:AI273">AA252*AA185</f>
        <v>0.04588979327690636</v>
      </c>
      <c r="AB273" s="3">
        <f t="shared" si="118"/>
        <v>0.04230895706682363</v>
      </c>
      <c r="AC273" s="3">
        <f t="shared" si="118"/>
        <v>0.04798932630264718</v>
      </c>
      <c r="AD273" s="3">
        <f t="shared" si="118"/>
        <v>0.05528370390064954</v>
      </c>
      <c r="AE273" s="3">
        <f t="shared" si="118"/>
        <v>0.0669451101921928</v>
      </c>
      <c r="AF273" s="3">
        <f t="shared" si="118"/>
        <v>0.09213950650108257</v>
      </c>
      <c r="AG273" s="3">
        <f t="shared" si="118"/>
        <v>0.15116637785333858</v>
      </c>
      <c r="AH273" s="3">
        <f t="shared" si="118"/>
        <v>0.4664562516617305</v>
      </c>
      <c r="AI273" s="3">
        <f t="shared" si="118"/>
        <v>8.63807873447649</v>
      </c>
    </row>
    <row r="274" spans="13:35" ht="12.75">
      <c r="M274" s="3">
        <v>400</v>
      </c>
      <c r="N274" s="3">
        <f aca="true" t="shared" si="119" ref="N274:V274">N253*N186</f>
        <v>0.9249997371770727</v>
      </c>
      <c r="O274" s="3">
        <f t="shared" si="119"/>
        <v>3.8760913859455273</v>
      </c>
      <c r="P274" s="3">
        <f t="shared" si="119"/>
        <v>48.184093399980696</v>
      </c>
      <c r="Q274" s="3">
        <f t="shared" si="119"/>
        <v>1.0435141598795097</v>
      </c>
      <c r="R274" s="3">
        <f t="shared" si="119"/>
        <v>0.2627550875289496</v>
      </c>
      <c r="S274" s="3">
        <f t="shared" si="119"/>
        <v>0.0989844866176888</v>
      </c>
      <c r="T274" s="3">
        <f t="shared" si="119"/>
        <v>0.04260445371878464</v>
      </c>
      <c r="U274" s="3">
        <f t="shared" si="119"/>
        <v>0.02113306851525159</v>
      </c>
      <c r="V274" s="3">
        <f t="shared" si="119"/>
        <v>0.010887979547121845</v>
      </c>
      <c r="Z274" s="3">
        <v>400</v>
      </c>
      <c r="AA274" s="3">
        <f aca="true" t="shared" si="120" ref="AA274:AI274">AA253*AA186</f>
        <v>0.042515885659276414</v>
      </c>
      <c r="AB274" s="3">
        <f t="shared" si="120"/>
        <v>0.044953628374434146</v>
      </c>
      <c r="AC274" s="3">
        <f t="shared" si="120"/>
        <v>0.05758765464960191</v>
      </c>
      <c r="AD274" s="3">
        <f t="shared" si="120"/>
        <v>0.0570117781031059</v>
      </c>
      <c r="AE274" s="3">
        <f t="shared" si="120"/>
        <v>0.07450402820292247</v>
      </c>
      <c r="AF274" s="3">
        <f t="shared" si="120"/>
        <v>0.10509746973552349</v>
      </c>
      <c r="AG274" s="3">
        <f t="shared" si="120"/>
        <v>0.1749225009981658</v>
      </c>
      <c r="AH274" s="3">
        <f t="shared" si="120"/>
        <v>0.5312461141425776</v>
      </c>
      <c r="AI274" s="3">
        <f t="shared" si="120"/>
        <v>9.717916722120323</v>
      </c>
    </row>
    <row r="275" spans="13:35" ht="12.75">
      <c r="M275" s="3">
        <v>500</v>
      </c>
      <c r="N275" s="3">
        <f aca="true" t="shared" si="121" ref="N275:V275">N254*N187</f>
        <v>0.16087273410620512</v>
      </c>
      <c r="O275" s="3">
        <f t="shared" si="121"/>
        <v>0.6106700781918721</v>
      </c>
      <c r="P275" s="3">
        <f t="shared" si="121"/>
        <v>7.332508559053573</v>
      </c>
      <c r="Q275" s="3">
        <f t="shared" si="121"/>
        <v>0.17323506128789648</v>
      </c>
      <c r="R275" s="3">
        <f t="shared" si="121"/>
        <v>0.04172375878590525</v>
      </c>
      <c r="S275" s="3">
        <f t="shared" si="121"/>
        <v>0.0165075700326623</v>
      </c>
      <c r="T275" s="3">
        <f t="shared" si="121"/>
        <v>0.0074919473646322555</v>
      </c>
      <c r="U275" s="3">
        <f t="shared" si="121"/>
        <v>0.0037650333573979317</v>
      </c>
      <c r="V275" s="3">
        <f t="shared" si="121"/>
        <v>0.0018557275087490912</v>
      </c>
      <c r="Z275" s="3">
        <v>500</v>
      </c>
      <c r="AA275" s="3">
        <f aca="true" t="shared" si="122" ref="AA275:AI275">AA254*AA187</f>
        <v>0.0073942148241338155</v>
      </c>
      <c r="AB275" s="3">
        <f t="shared" si="122"/>
        <v>0.0070823499812111635</v>
      </c>
      <c r="AC275" s="3">
        <f t="shared" si="122"/>
        <v>0.008763513865640076</v>
      </c>
      <c r="AD275" s="3">
        <f t="shared" si="122"/>
        <v>0.009464594974891282</v>
      </c>
      <c r="AE275" s="3">
        <f t="shared" si="122"/>
        <v>0.011830743718614103</v>
      </c>
      <c r="AF275" s="3">
        <f t="shared" si="122"/>
        <v>0.01752702773128015</v>
      </c>
      <c r="AG275" s="3">
        <f t="shared" si="122"/>
        <v>0.03075993366839667</v>
      </c>
      <c r="AH275" s="3">
        <f t="shared" si="122"/>
        <v>0.09464594974891283</v>
      </c>
      <c r="AI275" s="3">
        <f t="shared" si="122"/>
        <v>1.6563041206059745</v>
      </c>
    </row>
    <row r="276" spans="13:35" ht="12.75">
      <c r="M276" s="3">
        <v>600</v>
      </c>
      <c r="N276" s="3">
        <f aca="true" t="shared" si="123" ref="N276:V276">N255*N188</f>
        <v>0.06688075320438763</v>
      </c>
      <c r="O276" s="3">
        <f t="shared" si="123"/>
        <v>0.30546838225808326</v>
      </c>
      <c r="P276" s="3">
        <f t="shared" si="123"/>
        <v>3.2277127282418094</v>
      </c>
      <c r="Q276" s="3">
        <f t="shared" si="123"/>
        <v>0.08472968285962619</v>
      </c>
      <c r="R276" s="3">
        <f t="shared" si="123"/>
        <v>0.020407190226729773</v>
      </c>
      <c r="S276" s="3">
        <f t="shared" si="123"/>
        <v>0.007266502790641733</v>
      </c>
      <c r="T276" s="3">
        <f t="shared" si="123"/>
        <v>0.003452925759110671</v>
      </c>
      <c r="U276" s="3">
        <f t="shared" si="123"/>
        <v>0.0017263938948577076</v>
      </c>
      <c r="V276" s="3">
        <f t="shared" si="123"/>
        <v>0.0008590171511580556</v>
      </c>
      <c r="Z276" s="3">
        <v>600</v>
      </c>
      <c r="AA276" s="3">
        <f aca="true" t="shared" si="124" ref="AA276:AI276">AA255*AA188</f>
        <v>0.0030740489340265608</v>
      </c>
      <c r="AB276" s="3">
        <f t="shared" si="124"/>
        <v>0.003542721460582831</v>
      </c>
      <c r="AC276" s="3">
        <f t="shared" si="124"/>
        <v>0.00385763003485686</v>
      </c>
      <c r="AD276" s="3">
        <f t="shared" si="124"/>
        <v>0.0046291560418282324</v>
      </c>
      <c r="AE276" s="3">
        <f t="shared" si="124"/>
        <v>0.00578644505228529</v>
      </c>
      <c r="AF276" s="3">
        <f t="shared" si="124"/>
        <v>0.00771526006971372</v>
      </c>
      <c r="AG276" s="3">
        <f t="shared" si="124"/>
        <v>0.014176790378098962</v>
      </c>
      <c r="AH276" s="3">
        <f t="shared" si="124"/>
        <v>0.04339833789213968</v>
      </c>
      <c r="AI276" s="3">
        <f t="shared" si="124"/>
        <v>0.766703969427801</v>
      </c>
    </row>
    <row r="277" spans="13:35" ht="12.75">
      <c r="M277" s="3">
        <v>700</v>
      </c>
      <c r="N277" s="3">
        <f aca="true" t="shared" si="125" ref="N277:V277">N256*N189</f>
        <v>0.04047121806924946</v>
      </c>
      <c r="O277" s="3">
        <f t="shared" si="125"/>
        <v>0.1675942191662869</v>
      </c>
      <c r="P277" s="3">
        <f t="shared" si="125"/>
        <v>2.0752428859616807</v>
      </c>
      <c r="Q277" s="3">
        <f t="shared" si="125"/>
        <v>0.04793936884166509</v>
      </c>
      <c r="R277" s="3">
        <f t="shared" si="125"/>
        <v>0.011808637234950197</v>
      </c>
      <c r="S277" s="3">
        <f t="shared" si="125"/>
        <v>0.004671964171456534</v>
      </c>
      <c r="T277" s="3">
        <f t="shared" si="125"/>
        <v>0.0019935076018927343</v>
      </c>
      <c r="U277" s="3">
        <f t="shared" si="125"/>
        <v>0.0010655778479387102</v>
      </c>
      <c r="V277" s="3">
        <f t="shared" si="125"/>
        <v>0.0005585535469748147</v>
      </c>
      <c r="Z277" s="3">
        <v>700</v>
      </c>
      <c r="AA277" s="3">
        <f aca="true" t="shared" si="126" ref="AA277:AI277">AA256*AA189</f>
        <v>0.0018601839662949699</v>
      </c>
      <c r="AB277" s="3">
        <f t="shared" si="126"/>
        <v>0.0019437024300878053</v>
      </c>
      <c r="AC277" s="3">
        <f t="shared" si="126"/>
        <v>0.0024802452883932935</v>
      </c>
      <c r="AD277" s="3">
        <f t="shared" si="126"/>
        <v>0.002619139024543318</v>
      </c>
      <c r="AE277" s="3">
        <f t="shared" si="126"/>
        <v>0.0033483311393309456</v>
      </c>
      <c r="AF277" s="3">
        <f t="shared" si="126"/>
        <v>0.004960490576786587</v>
      </c>
      <c r="AG277" s="3">
        <f t="shared" si="126"/>
        <v>0.008184809451697868</v>
      </c>
      <c r="AH277" s="3">
        <f t="shared" si="126"/>
        <v>0.026786649114647565</v>
      </c>
      <c r="AI277" s="3">
        <f t="shared" si="126"/>
        <v>0.498529302967052</v>
      </c>
    </row>
    <row r="278" spans="13:35" ht="12.75">
      <c r="M278" s="3">
        <v>800</v>
      </c>
      <c r="N278" s="3">
        <f aca="true" t="shared" si="127" ref="N278:V278">N257*N190</f>
        <v>0.027667611055248297</v>
      </c>
      <c r="O278" s="3">
        <f t="shared" si="127"/>
        <v>0.12412136039466204</v>
      </c>
      <c r="P278" s="3">
        <f t="shared" si="127"/>
        <v>1.3031134778572764</v>
      </c>
      <c r="Q278" s="3">
        <f t="shared" si="127"/>
        <v>0.03442832094308114</v>
      </c>
      <c r="R278" s="3">
        <f t="shared" si="127"/>
        <v>0.0083718113719478</v>
      </c>
      <c r="S278" s="3">
        <f t="shared" si="127"/>
        <v>0.003028315301407231</v>
      </c>
      <c r="T278" s="3">
        <f t="shared" si="127"/>
        <v>0.0014316650631575405</v>
      </c>
      <c r="U278" s="3">
        <f t="shared" si="127"/>
        <v>0.0007914221900892029</v>
      </c>
      <c r="V278" s="3">
        <f t="shared" si="127"/>
        <v>0.0004052778440197188</v>
      </c>
      <c r="Z278" s="3">
        <v>800</v>
      </c>
      <c r="AA278" s="3">
        <f aca="true" t="shared" si="128" ref="AA278:AI278">AA257*AA190</f>
        <v>0.0012716900781833272</v>
      </c>
      <c r="AB278" s="3">
        <f t="shared" si="128"/>
        <v>0.0014395185646918752</v>
      </c>
      <c r="AC278" s="3">
        <f t="shared" si="128"/>
        <v>0.0015574278488368648</v>
      </c>
      <c r="AD278" s="3">
        <f t="shared" si="128"/>
        <v>0.0018809709245307166</v>
      </c>
      <c r="AE278" s="3">
        <f t="shared" si="128"/>
        <v>0.002373821479275544</v>
      </c>
      <c r="AF278" s="3">
        <f t="shared" si="128"/>
        <v>0.003215334913727721</v>
      </c>
      <c r="AG278" s="3">
        <f t="shared" si="128"/>
        <v>0.00587803413915849</v>
      </c>
      <c r="AH278" s="3">
        <f t="shared" si="128"/>
        <v>0.019894884778690274</v>
      </c>
      <c r="AI278" s="3">
        <f t="shared" si="128"/>
        <v>0.36172517779436864</v>
      </c>
    </row>
    <row r="279" spans="13:35" ht="12.75">
      <c r="M279" s="3">
        <v>900</v>
      </c>
      <c r="N279" s="3">
        <f aca="true" t="shared" si="129" ref="N279:V279">N258*N191</f>
        <v>0.02063856662948257</v>
      </c>
      <c r="O279" s="3">
        <f t="shared" si="129"/>
        <v>0.08760243055663865</v>
      </c>
      <c r="P279" s="3">
        <f t="shared" si="129"/>
        <v>1.0441734499065733</v>
      </c>
      <c r="Q279" s="3">
        <f t="shared" si="129"/>
        <v>0.026669454272536117</v>
      </c>
      <c r="R279" s="3">
        <f t="shared" si="129"/>
        <v>0.0064233525750873625</v>
      </c>
      <c r="S279" s="3">
        <f t="shared" si="129"/>
        <v>0.002541332458128289</v>
      </c>
      <c r="T279" s="3">
        <f t="shared" si="129"/>
        <v>0.00118295557888222</v>
      </c>
      <c r="U279" s="3">
        <f t="shared" si="129"/>
        <v>0.0005796250725066863</v>
      </c>
      <c r="V279" s="3">
        <f t="shared" si="129"/>
        <v>0.0003094957194750998</v>
      </c>
      <c r="Z279" s="3">
        <v>900</v>
      </c>
      <c r="AA279" s="3">
        <f aca="true" t="shared" si="130" ref="AA279:AI279">AA258*AA191</f>
        <v>0.0009486131765488982</v>
      </c>
      <c r="AB279" s="3">
        <f t="shared" si="130"/>
        <v>0.0010159840715364525</v>
      </c>
      <c r="AC279" s="3">
        <f t="shared" si="130"/>
        <v>0.001247953334482106</v>
      </c>
      <c r="AD279" s="3">
        <f t="shared" si="130"/>
        <v>0.0014570698391791076</v>
      </c>
      <c r="AE279" s="3">
        <f t="shared" si="130"/>
        <v>0.0018213372989738844</v>
      </c>
      <c r="AF279" s="3">
        <f t="shared" si="130"/>
        <v>0.00269827747996131</v>
      </c>
      <c r="AG279" s="3">
        <f t="shared" si="130"/>
        <v>0.004856899463930359</v>
      </c>
      <c r="AH279" s="3">
        <f t="shared" si="130"/>
        <v>0.014570698391791075</v>
      </c>
      <c r="AI279" s="3">
        <f t="shared" si="130"/>
        <v>0.27623615701103915</v>
      </c>
    </row>
    <row r="280" spans="13:35" ht="12.75">
      <c r="M280" s="3">
        <v>1000</v>
      </c>
      <c r="N280" s="3">
        <f>N259*N192</f>
        <v>0.01628687748354119</v>
      </c>
      <c r="O280" s="3">
        <f aca="true" t="shared" si="131" ref="O280:V280">O259*O192</f>
        <v>0.0735765041222097</v>
      </c>
      <c r="P280" s="3">
        <f t="shared" si="131"/>
        <v>0.8098349693184844</v>
      </c>
      <c r="Q280" s="3">
        <f t="shared" si="131"/>
        <v>0.019770615071255576</v>
      </c>
      <c r="R280" s="3">
        <f t="shared" si="131"/>
        <v>0.004992171305511087</v>
      </c>
      <c r="S280" s="3">
        <f t="shared" si="131"/>
        <v>0.001914328190880662</v>
      </c>
      <c r="T280" s="3">
        <f t="shared" si="131"/>
        <v>0.0009547431952635937</v>
      </c>
      <c r="U280" s="3">
        <f t="shared" si="131"/>
        <v>0.0004504793440959931</v>
      </c>
      <c r="V280" s="3">
        <f t="shared" si="131"/>
        <v>0.0002439938427892675</v>
      </c>
      <c r="Z280" s="3">
        <v>1000</v>
      </c>
      <c r="AA280" s="3">
        <f>AA259*AA192</f>
        <v>0.0007485959109027562</v>
      </c>
      <c r="AB280" s="3">
        <f aca="true" t="shared" si="132" ref="AB280:AI280">AB259*AB192</f>
        <v>0.0008533160067878543</v>
      </c>
      <c r="AC280" s="3">
        <f t="shared" si="132"/>
        <v>0.0009678815817732606</v>
      </c>
      <c r="AD280" s="3">
        <f t="shared" si="132"/>
        <v>0.0010801558452589587</v>
      </c>
      <c r="AE280" s="3">
        <f t="shared" si="132"/>
        <v>0.0014155268133433936</v>
      </c>
      <c r="AF280" s="3">
        <f t="shared" si="132"/>
        <v>0.0020325513217238473</v>
      </c>
      <c r="AG280" s="3">
        <f t="shared" si="132"/>
        <v>0.003919920406181706</v>
      </c>
      <c r="AH280" s="3">
        <f t="shared" si="132"/>
        <v>0.011324214506747149</v>
      </c>
      <c r="AI280" s="3">
        <f t="shared" si="132"/>
        <v>0.2177733558989836</v>
      </c>
    </row>
    <row r="281" spans="13:35" ht="12.75">
      <c r="M281" s="3">
        <v>1100</v>
      </c>
      <c r="N281" s="3">
        <f aca="true" t="shared" si="133" ref="N281:V286">N260*N193</f>
        <v>0.01369905955200249</v>
      </c>
      <c r="O281" s="3">
        <f t="shared" si="133"/>
        <v>0.06134088562677387</v>
      </c>
      <c r="P281" s="3">
        <f t="shared" si="133"/>
        <v>0.6776993101590065</v>
      </c>
      <c r="Q281" s="3">
        <f t="shared" si="133"/>
        <v>0.01679063144681351</v>
      </c>
      <c r="R281" s="3">
        <f t="shared" si="133"/>
        <v>0.004246234357517847</v>
      </c>
      <c r="S281" s="3">
        <f t="shared" si="133"/>
        <v>0.0016388360134959032</v>
      </c>
      <c r="T281" s="3">
        <f t="shared" si="133"/>
        <v>0.0008059459810163402</v>
      </c>
      <c r="U281" s="3">
        <f t="shared" si="133"/>
        <v>0.0003857747006878058</v>
      </c>
      <c r="V281" s="3">
        <f t="shared" si="133"/>
        <v>0.0002184068857362414</v>
      </c>
      <c r="Z281" s="3">
        <v>1100</v>
      </c>
      <c r="AA281" s="3">
        <f aca="true" t="shared" si="134" ref="AA281:AI286">AA260*AA193</f>
        <v>0.0006296516919345483</v>
      </c>
      <c r="AB281" s="3">
        <f t="shared" si="134"/>
        <v>0.0007114113425248879</v>
      </c>
      <c r="AC281" s="3">
        <f t="shared" si="134"/>
        <v>0.0008099584546655798</v>
      </c>
      <c r="AD281" s="3">
        <f t="shared" si="134"/>
        <v>0.000917346204834724</v>
      </c>
      <c r="AE281" s="3">
        <f t="shared" si="134"/>
        <v>0.0012040168938455755</v>
      </c>
      <c r="AF281" s="3">
        <f t="shared" si="134"/>
        <v>0.0017400455790118972</v>
      </c>
      <c r="AG281" s="3">
        <f t="shared" si="134"/>
        <v>0.0033089988102966835</v>
      </c>
      <c r="AH281" s="3">
        <f t="shared" si="134"/>
        <v>0.009697659879681369</v>
      </c>
      <c r="AI281" s="3">
        <f t="shared" si="134"/>
        <v>0.19493606852737885</v>
      </c>
    </row>
    <row r="282" spans="13:35" ht="12.75">
      <c r="M282" s="3">
        <v>1200</v>
      </c>
      <c r="N282" s="3">
        <f t="shared" si="133"/>
        <v>0.011805819302108706</v>
      </c>
      <c r="O282" s="3">
        <f t="shared" si="133"/>
        <v>0.05248350586145737</v>
      </c>
      <c r="P282" s="3">
        <f t="shared" si="133"/>
        <v>0.5816271805750618</v>
      </c>
      <c r="Q282" s="3">
        <f t="shared" si="133"/>
        <v>0.01458260703570542</v>
      </c>
      <c r="R282" s="3">
        <f t="shared" si="133"/>
        <v>0.0036923431399295764</v>
      </c>
      <c r="S282" s="3">
        <f t="shared" si="133"/>
        <v>0.0014323329187203087</v>
      </c>
      <c r="T282" s="3">
        <f t="shared" si="133"/>
        <v>0.0006965850732841806</v>
      </c>
      <c r="U282" s="3">
        <f t="shared" si="133"/>
        <v>0.000337249796871044</v>
      </c>
      <c r="V282" s="3">
        <f t="shared" si="133"/>
        <v>0.00019741040179672062</v>
      </c>
      <c r="Z282" s="3">
        <v>1200</v>
      </c>
      <c r="AA282" s="3">
        <f t="shared" si="134"/>
        <v>0.0005426324391121927</v>
      </c>
      <c r="AB282" s="3">
        <f t="shared" si="134"/>
        <v>0.0006086863758780706</v>
      </c>
      <c r="AC282" s="3">
        <f t="shared" si="134"/>
        <v>0.0006951369808234624</v>
      </c>
      <c r="AD282" s="3">
        <f t="shared" si="134"/>
        <v>0.0007967120988376664</v>
      </c>
      <c r="AE282" s="3">
        <f t="shared" si="134"/>
        <v>0.001046961411934113</v>
      </c>
      <c r="AF282" s="3">
        <f t="shared" si="134"/>
        <v>0.0015207894764137791</v>
      </c>
      <c r="AG282" s="3">
        <f t="shared" si="134"/>
        <v>0.002859992149673675</v>
      </c>
      <c r="AH282" s="3">
        <f t="shared" si="134"/>
        <v>0.008477833872246964</v>
      </c>
      <c r="AI282" s="3">
        <f t="shared" si="134"/>
        <v>0.17619594493525317</v>
      </c>
    </row>
    <row r="283" spans="13:35" ht="12.75">
      <c r="M283" s="3">
        <v>1300</v>
      </c>
      <c r="N283" s="3">
        <f t="shared" si="133"/>
        <v>0.010363792873992859</v>
      </c>
      <c r="O283" s="3">
        <f t="shared" si="133"/>
        <v>0.04579755991450133</v>
      </c>
      <c r="P283" s="3">
        <f t="shared" si="133"/>
        <v>0.5088357643394619</v>
      </c>
      <c r="Q283" s="3">
        <f t="shared" si="133"/>
        <v>0.012882918353342335</v>
      </c>
      <c r="R283" s="3">
        <f t="shared" si="133"/>
        <v>0.0032652167397122806</v>
      </c>
      <c r="S283" s="3">
        <f t="shared" si="133"/>
        <v>0.0012718645469434247</v>
      </c>
      <c r="T283" s="3">
        <f t="shared" si="133"/>
        <v>0.0006129661412248046</v>
      </c>
      <c r="U283" s="3">
        <f t="shared" si="133"/>
        <v>0.00029952747455109623</v>
      </c>
      <c r="V283" s="3">
        <f t="shared" si="133"/>
        <v>0.00017995579292285366</v>
      </c>
      <c r="Z283" s="3">
        <v>1300</v>
      </c>
      <c r="AA283" s="3">
        <f t="shared" si="134"/>
        <v>0.00047635238705235987</v>
      </c>
      <c r="AB283" s="3">
        <f t="shared" si="134"/>
        <v>0.0005311449818539723</v>
      </c>
      <c r="AC283" s="3">
        <f t="shared" si="134"/>
        <v>0.0006081396619191947</v>
      </c>
      <c r="AD283" s="3">
        <f t="shared" si="134"/>
        <v>0.0007038506143184399</v>
      </c>
      <c r="AE283" s="3">
        <f t="shared" si="134"/>
        <v>0.0009258500086601572</v>
      </c>
      <c r="AF283" s="3">
        <f t="shared" si="134"/>
        <v>0.0013504110623551464</v>
      </c>
      <c r="AG283" s="3">
        <f t="shared" si="134"/>
        <v>0.0025166751616618635</v>
      </c>
      <c r="AH283" s="3">
        <f t="shared" si="134"/>
        <v>0.0075295647113135435</v>
      </c>
      <c r="AI283" s="3">
        <f t="shared" si="134"/>
        <v>0.1606170733255742</v>
      </c>
    </row>
    <row r="284" spans="13:35" ht="12.75">
      <c r="M284" s="3">
        <v>1500</v>
      </c>
      <c r="N284" s="3">
        <f t="shared" si="133"/>
        <v>0.008317462943442638</v>
      </c>
      <c r="O284" s="3">
        <f t="shared" si="133"/>
        <v>0.036411394591885735</v>
      </c>
      <c r="P284" s="3">
        <f t="shared" si="133"/>
        <v>0.40618532958397674</v>
      </c>
      <c r="Q284" s="3">
        <f t="shared" si="133"/>
        <v>0.010440861733614113</v>
      </c>
      <c r="R284" s="3">
        <f t="shared" si="133"/>
        <v>0.002650283110544014</v>
      </c>
      <c r="S284" s="3">
        <f t="shared" si="133"/>
        <v>0.0010388028558458206</v>
      </c>
      <c r="T284" s="3">
        <f t="shared" si="133"/>
        <v>0.0004937643678462493</v>
      </c>
      <c r="U284" s="3">
        <f t="shared" si="133"/>
        <v>0.0002447157334147461</v>
      </c>
      <c r="V284" s="3">
        <f t="shared" si="133"/>
        <v>0.0001527288775606492</v>
      </c>
      <c r="Z284" s="3">
        <v>1500</v>
      </c>
      <c r="AA284" s="3">
        <f t="shared" si="134"/>
        <v>0.00038229665292432573</v>
      </c>
      <c r="AB284" s="3">
        <f t="shared" si="134"/>
        <v>0.000422287334868713</v>
      </c>
      <c r="AC284" s="3">
        <f t="shared" si="134"/>
        <v>0.0004854560672054931</v>
      </c>
      <c r="AD284" s="3">
        <f t="shared" si="134"/>
        <v>0.0005704302972091426</v>
      </c>
      <c r="AE284" s="3">
        <f t="shared" si="134"/>
        <v>0.0007514859920341032</v>
      </c>
      <c r="AF284" s="3">
        <f t="shared" si="134"/>
        <v>0.0011029561846908804</v>
      </c>
      <c r="AG284" s="3">
        <f t="shared" si="134"/>
        <v>0.002027264536650139</v>
      </c>
      <c r="AH284" s="3">
        <f t="shared" si="134"/>
        <v>0.006151699283628007</v>
      </c>
      <c r="AI284" s="3">
        <f t="shared" si="134"/>
        <v>0.13631606367130245</v>
      </c>
    </row>
    <row r="285" spans="13:35" ht="12.75">
      <c r="M285" s="3">
        <v>1800</v>
      </c>
      <c r="N285" s="3">
        <f t="shared" si="133"/>
        <v>0.006405981363485016</v>
      </c>
      <c r="O285" s="3">
        <f t="shared" si="133"/>
        <v>0.027767237482305248</v>
      </c>
      <c r="P285" s="3">
        <f t="shared" si="133"/>
        <v>0.3110834309764122</v>
      </c>
      <c r="Q285" s="3">
        <f t="shared" si="133"/>
        <v>0.0081231746251602</v>
      </c>
      <c r="R285" s="3">
        <f t="shared" si="133"/>
        <v>0.0020651638640612</v>
      </c>
      <c r="S285" s="3">
        <f t="shared" si="133"/>
        <v>0.0008146032205748219</v>
      </c>
      <c r="T285" s="3">
        <f t="shared" si="133"/>
        <v>0.0003817603479350682</v>
      </c>
      <c r="U285" s="3">
        <f t="shared" si="133"/>
        <v>0.00019195916217034308</v>
      </c>
      <c r="V285" s="3">
        <f t="shared" si="133"/>
        <v>0.00012431002706639059</v>
      </c>
      <c r="Z285" s="3">
        <v>1800</v>
      </c>
      <c r="AA285" s="3">
        <f t="shared" si="134"/>
        <v>0.00029443897142778045</v>
      </c>
      <c r="AB285" s="3">
        <f t="shared" si="134"/>
        <v>0.0003220352541971132</v>
      </c>
      <c r="AC285" s="3">
        <f t="shared" si="134"/>
        <v>0.000371794173682431</v>
      </c>
      <c r="AD285" s="3">
        <f t="shared" si="134"/>
        <v>0.0004438048346903966</v>
      </c>
      <c r="AE285" s="3">
        <f t="shared" si="134"/>
        <v>0.0005855758235498288</v>
      </c>
      <c r="AF285" s="3">
        <f t="shared" si="134"/>
        <v>0.0008649106566717606</v>
      </c>
      <c r="AG285" s="3">
        <f t="shared" si="134"/>
        <v>0.0015674059637875118</v>
      </c>
      <c r="AH285" s="3">
        <f t="shared" si="134"/>
        <v>0.004825497012109868</v>
      </c>
      <c r="AI285" s="3">
        <f t="shared" si="134"/>
        <v>0.11095120867259914</v>
      </c>
    </row>
    <row r="286" spans="13:35" ht="13.5" thickBot="1">
      <c r="M286" s="3">
        <v>2000</v>
      </c>
      <c r="N286" s="3">
        <f t="shared" si="133"/>
        <v>0.0055515122052147816</v>
      </c>
      <c r="O286" s="3">
        <f t="shared" si="133"/>
        <v>0.023947094318184457</v>
      </c>
      <c r="P286" s="3">
        <f t="shared" si="133"/>
        <v>0.2688502058677093</v>
      </c>
      <c r="Q286" s="3">
        <f t="shared" si="133"/>
        <v>0.007074109018975073</v>
      </c>
      <c r="R286" s="3">
        <f t="shared" si="133"/>
        <v>0.0017997919087587024</v>
      </c>
      <c r="S286" s="3">
        <f t="shared" si="133"/>
        <v>0.0007120688989336615</v>
      </c>
      <c r="T286" s="3">
        <f t="shared" si="133"/>
        <v>0.00033145835518210353</v>
      </c>
      <c r="U286" s="3">
        <f t="shared" si="133"/>
        <v>0.00016782170787974472</v>
      </c>
      <c r="V286" s="3">
        <f t="shared" si="133"/>
        <v>0.00011054313522185173</v>
      </c>
      <c r="Z286" s="3">
        <v>2000</v>
      </c>
      <c r="AA286" s="3">
        <f t="shared" si="134"/>
        <v>0.0002551648921255925</v>
      </c>
      <c r="AB286" s="3">
        <f t="shared" si="134"/>
        <v>0.0002777304948305768</v>
      </c>
      <c r="AC286" s="3">
        <f t="shared" si="134"/>
        <v>0.00032131875304704244</v>
      </c>
      <c r="AD286" s="3">
        <f t="shared" si="134"/>
        <v>0.00038648975660623074</v>
      </c>
      <c r="AE286" s="3">
        <f t="shared" si="134"/>
        <v>0.000510329784251185</v>
      </c>
      <c r="AF286" s="3">
        <f t="shared" si="134"/>
        <v>0.0007560441248165704</v>
      </c>
      <c r="AG286" s="3">
        <f t="shared" si="134"/>
        <v>0.0013608794246698266</v>
      </c>
      <c r="AH286" s="3">
        <f t="shared" si="134"/>
        <v>0.0042187262164764625</v>
      </c>
      <c r="AI286" s="3">
        <f t="shared" si="134"/>
        <v>0.09866375828856243</v>
      </c>
    </row>
    <row r="287" spans="23:36" ht="13.5" thickBot="1">
      <c r="W287" s="30">
        <f>SUM(N268:V286)</f>
        <v>126.12431401166073</v>
      </c>
      <c r="AJ287" s="30">
        <f>SUM(AA268:AI286)</f>
        <v>26.199931560103533</v>
      </c>
    </row>
    <row r="314" spans="10:12" ht="12.75">
      <c r="J314" t="s">
        <v>165</v>
      </c>
      <c r="K314" s="1">
        <f>MAX('Classificador Espiral'!I41:I42)</f>
        <v>9.998638553188382</v>
      </c>
      <c r="L314" t="s">
        <v>6</v>
      </c>
    </row>
    <row r="317" spans="4:10" ht="12.75">
      <c r="D317" t="s">
        <v>162</v>
      </c>
      <c r="J317" t="s">
        <v>163</v>
      </c>
    </row>
    <row r="318" spans="1:11" ht="12.75">
      <c r="A318" s="3"/>
      <c r="B318" s="3"/>
      <c r="C318" s="3" t="s">
        <v>128</v>
      </c>
      <c r="D318" s="3" t="s">
        <v>126</v>
      </c>
      <c r="E318" s="3" t="s">
        <v>127</v>
      </c>
      <c r="G318" s="3"/>
      <c r="H318" s="3"/>
      <c r="I318" s="3" t="s">
        <v>128</v>
      </c>
      <c r="J318" s="3" t="s">
        <v>126</v>
      </c>
      <c r="K318" s="3" t="s">
        <v>127</v>
      </c>
    </row>
    <row r="319" spans="1:11" ht="12.75">
      <c r="A319" s="127" t="s">
        <v>70</v>
      </c>
      <c r="B319" s="3" t="s">
        <v>129</v>
      </c>
      <c r="C319" s="3">
        <v>14.1</v>
      </c>
      <c r="D319" s="3">
        <v>19.3</v>
      </c>
      <c r="E319" s="3">
        <v>25</v>
      </c>
      <c r="G319" s="127" t="s">
        <v>70</v>
      </c>
      <c r="H319" s="3" t="s">
        <v>174</v>
      </c>
      <c r="I319" s="12">
        <f>C319*0.09290304</f>
        <v>1.309932864</v>
      </c>
      <c r="J319" s="12">
        <f aca="true" t="shared" si="135" ref="J319:K334">D319*0.09290304</f>
        <v>1.7930286720000002</v>
      </c>
      <c r="K319" s="12">
        <f t="shared" si="135"/>
        <v>2.322576</v>
      </c>
    </row>
    <row r="320" spans="1:11" ht="12.75">
      <c r="A320" s="127"/>
      <c r="B320" s="3" t="s">
        <v>130</v>
      </c>
      <c r="C320" s="3">
        <v>15.7</v>
      </c>
      <c r="D320" s="3">
        <v>22.4</v>
      </c>
      <c r="E320" s="3">
        <v>30</v>
      </c>
      <c r="G320" s="127"/>
      <c r="H320" s="3" t="s">
        <v>175</v>
      </c>
      <c r="I320" s="12">
        <f aca="true" t="shared" si="136" ref="I320:I351">C320*0.09290304</f>
        <v>1.458577728</v>
      </c>
      <c r="J320" s="12">
        <f t="shared" si="135"/>
        <v>2.081028096</v>
      </c>
      <c r="K320" s="12">
        <f t="shared" si="135"/>
        <v>2.7870912000000003</v>
      </c>
    </row>
    <row r="321" spans="1:11" ht="12.75">
      <c r="A321" s="127"/>
      <c r="B321" s="3" t="s">
        <v>131</v>
      </c>
      <c r="C321" s="3">
        <v>17.4</v>
      </c>
      <c r="D321" s="3">
        <v>25.9</v>
      </c>
      <c r="E321" s="3">
        <v>35.9</v>
      </c>
      <c r="G321" s="127"/>
      <c r="H321" s="3" t="s">
        <v>176</v>
      </c>
      <c r="I321" s="12">
        <f t="shared" si="136"/>
        <v>1.616512896</v>
      </c>
      <c r="J321" s="12">
        <f t="shared" si="135"/>
        <v>2.406188736</v>
      </c>
      <c r="K321" s="12">
        <f t="shared" si="135"/>
        <v>3.335219136</v>
      </c>
    </row>
    <row r="322" spans="1:16" ht="12.75">
      <c r="A322" s="127" t="s">
        <v>71</v>
      </c>
      <c r="B322" s="3" t="s">
        <v>132</v>
      </c>
      <c r="C322" s="3">
        <v>21.4</v>
      </c>
      <c r="D322" s="3">
        <v>29.1</v>
      </c>
      <c r="E322" s="31">
        <v>38</v>
      </c>
      <c r="G322" s="127" t="s">
        <v>71</v>
      </c>
      <c r="H322" s="3" t="s">
        <v>177</v>
      </c>
      <c r="I322" s="12">
        <f t="shared" si="136"/>
        <v>1.988125056</v>
      </c>
      <c r="J322" s="12">
        <f t="shared" si="135"/>
        <v>2.7034784640000002</v>
      </c>
      <c r="K322" s="12">
        <f t="shared" si="135"/>
        <v>3.5303155200000003</v>
      </c>
      <c r="P322" t="s">
        <v>163</v>
      </c>
    </row>
    <row r="323" spans="1:23" ht="12.75">
      <c r="A323" s="127"/>
      <c r="B323" s="3" t="s">
        <v>133</v>
      </c>
      <c r="C323" s="3">
        <v>23.9</v>
      </c>
      <c r="D323" s="3">
        <v>34.5</v>
      </c>
      <c r="E323" s="31">
        <v>45.4</v>
      </c>
      <c r="G323" s="127"/>
      <c r="H323" s="3" t="s">
        <v>178</v>
      </c>
      <c r="I323" s="12">
        <f t="shared" si="136"/>
        <v>2.220382656</v>
      </c>
      <c r="J323" s="12">
        <f t="shared" si="135"/>
        <v>3.2051548800000003</v>
      </c>
      <c r="K323" s="12">
        <f t="shared" si="135"/>
        <v>4.217798016</v>
      </c>
      <c r="M323" s="3"/>
      <c r="N323" s="3"/>
      <c r="O323" s="3" t="s">
        <v>128</v>
      </c>
      <c r="P323" s="3" t="s">
        <v>126</v>
      </c>
      <c r="Q323" s="3" t="s">
        <v>127</v>
      </c>
      <c r="S323" s="3"/>
      <c r="T323" s="3"/>
      <c r="U323" s="3" t="s">
        <v>128</v>
      </c>
      <c r="V323" s="3" t="s">
        <v>126</v>
      </c>
      <c r="W323" s="3" t="s">
        <v>127</v>
      </c>
    </row>
    <row r="324" spans="1:23" ht="12.75">
      <c r="A324" s="127"/>
      <c r="B324" s="3" t="s">
        <v>134</v>
      </c>
      <c r="C324" s="3">
        <v>26.8</v>
      </c>
      <c r="D324" s="3">
        <v>40</v>
      </c>
      <c r="E324" s="31">
        <v>55.4</v>
      </c>
      <c r="G324" s="127"/>
      <c r="H324" s="3" t="s">
        <v>179</v>
      </c>
      <c r="I324" s="12">
        <f t="shared" si="136"/>
        <v>2.4898014720000003</v>
      </c>
      <c r="J324" s="12">
        <f t="shared" si="135"/>
        <v>3.7161216</v>
      </c>
      <c r="K324" s="12">
        <f t="shared" si="135"/>
        <v>5.146828416</v>
      </c>
      <c r="M324" s="127">
        <f>IF(T324+T325+T326=0,"",G319)</f>
      </c>
      <c r="N324" s="3">
        <f aca="true" t="shared" si="137" ref="N324:N356">IF(U324+V324+W324=0,"",H319)</f>
      </c>
      <c r="O324" s="12">
        <f aca="true" t="shared" si="138" ref="O324:P339">IF($K$314&gt;=I319,"",I319)</f>
      </c>
      <c r="P324" s="12">
        <f t="shared" si="138"/>
      </c>
      <c r="Q324" s="12">
        <f>IF($K$314&gt;=K319,"",K319)</f>
      </c>
      <c r="S324" s="127" t="s">
        <v>70</v>
      </c>
      <c r="T324" s="12">
        <f>IF(N324="",0,1)</f>
        <v>0</v>
      </c>
      <c r="U324" s="12">
        <f>IF(O324="",0,1)</f>
        <v>0</v>
      </c>
      <c r="V324" s="12">
        <f aca="true" t="shared" si="139" ref="V324:W339">IF(P324="",0,1)</f>
        <v>0</v>
      </c>
      <c r="W324" s="12">
        <f t="shared" si="139"/>
        <v>0</v>
      </c>
    </row>
    <row r="325" spans="1:23" ht="12.75">
      <c r="A325" s="127" t="s">
        <v>72</v>
      </c>
      <c r="B325" s="3" t="s">
        <v>135</v>
      </c>
      <c r="C325" s="3">
        <v>30.4</v>
      </c>
      <c r="D325" s="3">
        <v>41.6</v>
      </c>
      <c r="E325" s="31">
        <v>54.4</v>
      </c>
      <c r="G325" s="127" t="s">
        <v>72</v>
      </c>
      <c r="H325" s="3" t="s">
        <v>180</v>
      </c>
      <c r="I325" s="12">
        <f t="shared" si="136"/>
        <v>2.824252416</v>
      </c>
      <c r="J325" s="12">
        <f t="shared" si="135"/>
        <v>3.8647664640000006</v>
      </c>
      <c r="K325" s="12">
        <f t="shared" si="135"/>
        <v>5.0539253760000005</v>
      </c>
      <c r="M325" s="127"/>
      <c r="N325" s="3">
        <f t="shared" si="137"/>
      </c>
      <c r="O325" s="12">
        <f t="shared" si="138"/>
      </c>
      <c r="P325" s="12">
        <f t="shared" si="138"/>
      </c>
      <c r="Q325" s="12">
        <f aca="true" t="shared" si="140" ref="Q325:Q356">IF($K$314&gt;=K320,"",K320)</f>
      </c>
      <c r="S325" s="127"/>
      <c r="T325" s="12">
        <f aca="true" t="shared" si="141" ref="T325:T356">IF(N325="",0,1)</f>
        <v>0</v>
      </c>
      <c r="U325" s="12">
        <f aca="true" t="shared" si="142" ref="U325:U356">IF(O325="",0,1)</f>
        <v>0</v>
      </c>
      <c r="V325" s="12">
        <f t="shared" si="139"/>
        <v>0</v>
      </c>
      <c r="W325" s="12">
        <f t="shared" si="139"/>
        <v>0</v>
      </c>
    </row>
    <row r="326" spans="1:23" ht="12.75">
      <c r="A326" s="127"/>
      <c r="B326" s="3" t="s">
        <v>136</v>
      </c>
      <c r="C326" s="3">
        <v>34</v>
      </c>
      <c r="D326" s="3">
        <v>48.8</v>
      </c>
      <c r="E326" s="31">
        <v>66.2</v>
      </c>
      <c r="G326" s="127"/>
      <c r="H326" s="3" t="s">
        <v>181</v>
      </c>
      <c r="I326" s="12">
        <f t="shared" si="136"/>
        <v>3.15870336</v>
      </c>
      <c r="J326" s="12">
        <f t="shared" si="135"/>
        <v>4.533668352</v>
      </c>
      <c r="K326" s="12">
        <f t="shared" si="135"/>
        <v>6.150181248000001</v>
      </c>
      <c r="M326" s="127"/>
      <c r="N326" s="3">
        <f t="shared" si="137"/>
      </c>
      <c r="O326" s="12">
        <f t="shared" si="138"/>
      </c>
      <c r="P326" s="12">
        <f t="shared" si="138"/>
      </c>
      <c r="Q326" s="12">
        <f t="shared" si="140"/>
      </c>
      <c r="S326" s="127"/>
      <c r="T326" s="12">
        <f t="shared" si="141"/>
        <v>0</v>
      </c>
      <c r="U326" s="12">
        <f t="shared" si="142"/>
        <v>0</v>
      </c>
      <c r="V326" s="12">
        <f t="shared" si="139"/>
        <v>0</v>
      </c>
      <c r="W326" s="12">
        <f t="shared" si="139"/>
        <v>0</v>
      </c>
    </row>
    <row r="327" spans="1:23" ht="12.75">
      <c r="A327" s="127"/>
      <c r="B327" s="3" t="s">
        <v>137</v>
      </c>
      <c r="C327" s="3">
        <v>38.1</v>
      </c>
      <c r="D327" s="3">
        <v>57.1</v>
      </c>
      <c r="E327" s="31">
        <v>79.7</v>
      </c>
      <c r="G327" s="127"/>
      <c r="H327" s="3" t="s">
        <v>173</v>
      </c>
      <c r="I327" s="12">
        <f t="shared" si="136"/>
        <v>3.5396058240000006</v>
      </c>
      <c r="J327" s="12">
        <f t="shared" si="135"/>
        <v>5.304763584000001</v>
      </c>
      <c r="K327" s="12">
        <f t="shared" si="135"/>
        <v>7.404372288000001</v>
      </c>
      <c r="M327" s="127">
        <f>IF(T327+T328+T329=0,"",G322)</f>
      </c>
      <c r="N327" s="3">
        <f t="shared" si="137"/>
      </c>
      <c r="O327" s="12">
        <f t="shared" si="138"/>
      </c>
      <c r="P327" s="12">
        <f t="shared" si="138"/>
      </c>
      <c r="Q327" s="12">
        <f t="shared" si="140"/>
      </c>
      <c r="S327" s="127" t="s">
        <v>71</v>
      </c>
      <c r="T327" s="12">
        <f t="shared" si="141"/>
        <v>0</v>
      </c>
      <c r="U327" s="12">
        <f t="shared" si="142"/>
        <v>0</v>
      </c>
      <c r="V327" s="12">
        <f t="shared" si="139"/>
        <v>0</v>
      </c>
      <c r="W327" s="12">
        <f t="shared" si="139"/>
        <v>0</v>
      </c>
    </row>
    <row r="328" spans="1:23" ht="12.75">
      <c r="A328" s="127" t="s">
        <v>73</v>
      </c>
      <c r="B328" s="3" t="s">
        <v>138</v>
      </c>
      <c r="C328" s="3">
        <v>41.6</v>
      </c>
      <c r="D328" s="3">
        <v>56.5</v>
      </c>
      <c r="E328" s="31">
        <v>73.7</v>
      </c>
      <c r="G328" s="127" t="s">
        <v>73</v>
      </c>
      <c r="H328" s="3" t="s">
        <v>182</v>
      </c>
      <c r="I328" s="12">
        <f t="shared" si="136"/>
        <v>3.8647664640000006</v>
      </c>
      <c r="J328" s="12">
        <f t="shared" si="135"/>
        <v>5.249021760000001</v>
      </c>
      <c r="K328" s="12">
        <f t="shared" si="135"/>
        <v>6.846954048000001</v>
      </c>
      <c r="M328" s="127"/>
      <c r="N328" s="3">
        <f t="shared" si="137"/>
      </c>
      <c r="O328" s="12">
        <f t="shared" si="138"/>
      </c>
      <c r="P328" s="12">
        <f t="shared" si="138"/>
      </c>
      <c r="Q328" s="12">
        <f t="shared" si="140"/>
      </c>
      <c r="S328" s="127"/>
      <c r="T328" s="12">
        <f t="shared" si="141"/>
        <v>0</v>
      </c>
      <c r="U328" s="12">
        <f t="shared" si="142"/>
        <v>0</v>
      </c>
      <c r="V328" s="12">
        <f t="shared" si="139"/>
        <v>0</v>
      </c>
      <c r="W328" s="12">
        <f t="shared" si="139"/>
        <v>0</v>
      </c>
    </row>
    <row r="329" spans="1:23" ht="12.75">
      <c r="A329" s="127"/>
      <c r="B329" s="3" t="s">
        <v>139</v>
      </c>
      <c r="C329" s="3">
        <v>46.6</v>
      </c>
      <c r="D329" s="3">
        <v>66.4</v>
      </c>
      <c r="E329" s="31">
        <v>89.8</v>
      </c>
      <c r="G329" s="127"/>
      <c r="H329" s="3" t="s">
        <v>183</v>
      </c>
      <c r="I329" s="12">
        <f t="shared" si="136"/>
        <v>4.329281664000001</v>
      </c>
      <c r="J329" s="12">
        <f t="shared" si="135"/>
        <v>6.168761856000001</v>
      </c>
      <c r="K329" s="12">
        <f t="shared" si="135"/>
        <v>8.342692992</v>
      </c>
      <c r="M329" s="127"/>
      <c r="N329" s="3">
        <f t="shared" si="137"/>
      </c>
      <c r="O329" s="12">
        <f t="shared" si="138"/>
      </c>
      <c r="P329" s="12">
        <f t="shared" si="138"/>
      </c>
      <c r="Q329" s="12">
        <f t="shared" si="140"/>
      </c>
      <c r="S329" s="127"/>
      <c r="T329" s="12">
        <f t="shared" si="141"/>
        <v>0</v>
      </c>
      <c r="U329" s="12">
        <f t="shared" si="142"/>
        <v>0</v>
      </c>
      <c r="V329" s="12">
        <f t="shared" si="139"/>
        <v>0</v>
      </c>
      <c r="W329" s="12">
        <f t="shared" si="139"/>
        <v>0</v>
      </c>
    </row>
    <row r="330" spans="1:23" ht="12.75">
      <c r="A330" s="127"/>
      <c r="B330" s="3" t="s">
        <v>140</v>
      </c>
      <c r="C330" s="3">
        <v>52.3</v>
      </c>
      <c r="D330" s="3">
        <v>78</v>
      </c>
      <c r="E330" s="31">
        <v>108.4</v>
      </c>
      <c r="G330" s="127"/>
      <c r="H330" s="3" t="s">
        <v>184</v>
      </c>
      <c r="I330" s="12">
        <f t="shared" si="136"/>
        <v>4.858828992</v>
      </c>
      <c r="J330" s="12">
        <f t="shared" si="135"/>
        <v>7.24643712</v>
      </c>
      <c r="K330" s="12">
        <f t="shared" si="135"/>
        <v>10.070689536000001</v>
      </c>
      <c r="M330" s="127">
        <f>IF(T330+T331+T332=0,"",G325)</f>
      </c>
      <c r="N330" s="3">
        <f t="shared" si="137"/>
      </c>
      <c r="O330" s="12">
        <f t="shared" si="138"/>
      </c>
      <c r="P330" s="12">
        <f t="shared" si="138"/>
      </c>
      <c r="Q330" s="12">
        <f t="shared" si="140"/>
      </c>
      <c r="S330" s="127" t="s">
        <v>72</v>
      </c>
      <c r="T330" s="12">
        <f t="shared" si="141"/>
        <v>0</v>
      </c>
      <c r="U330" s="12">
        <f t="shared" si="142"/>
        <v>0</v>
      </c>
      <c r="V330" s="12">
        <f t="shared" si="139"/>
        <v>0</v>
      </c>
      <c r="W330" s="12">
        <f t="shared" si="139"/>
        <v>0</v>
      </c>
    </row>
    <row r="331" spans="1:23" ht="12.75">
      <c r="A331" s="127" t="s">
        <v>74</v>
      </c>
      <c r="B331" s="3" t="s">
        <v>141</v>
      </c>
      <c r="C331" s="3">
        <v>53.5</v>
      </c>
      <c r="D331" s="3">
        <v>72.9</v>
      </c>
      <c r="E331" s="31">
        <v>95</v>
      </c>
      <c r="G331" s="127" t="s">
        <v>74</v>
      </c>
      <c r="H331" s="3" t="s">
        <v>185</v>
      </c>
      <c r="I331" s="12">
        <f t="shared" si="136"/>
        <v>4.97031264</v>
      </c>
      <c r="J331" s="12">
        <f t="shared" si="135"/>
        <v>6.772631616000001</v>
      </c>
      <c r="K331" s="12">
        <f t="shared" si="135"/>
        <v>8.8257888</v>
      </c>
      <c r="M331" s="127"/>
      <c r="N331" s="3">
        <f t="shared" si="137"/>
      </c>
      <c r="O331" s="12">
        <f t="shared" si="138"/>
      </c>
      <c r="P331" s="12">
        <f t="shared" si="138"/>
      </c>
      <c r="Q331" s="12">
        <f t="shared" si="140"/>
      </c>
      <c r="S331" s="127"/>
      <c r="T331" s="12">
        <f t="shared" si="141"/>
        <v>0</v>
      </c>
      <c r="U331" s="12">
        <f t="shared" si="142"/>
        <v>0</v>
      </c>
      <c r="V331" s="12">
        <f t="shared" si="139"/>
        <v>0</v>
      </c>
      <c r="W331" s="12">
        <f t="shared" si="139"/>
        <v>0</v>
      </c>
    </row>
    <row r="332" spans="1:23" ht="12.75">
      <c r="A332" s="127"/>
      <c r="B332" s="3" t="s">
        <v>142</v>
      </c>
      <c r="C332" s="3">
        <v>60.1</v>
      </c>
      <c r="D332" s="3">
        <v>86</v>
      </c>
      <c r="E332" s="31">
        <v>116.2</v>
      </c>
      <c r="G332" s="127"/>
      <c r="H332" s="3" t="s">
        <v>186</v>
      </c>
      <c r="I332" s="12">
        <f t="shared" si="136"/>
        <v>5.583472704</v>
      </c>
      <c r="J332" s="12">
        <f t="shared" si="135"/>
        <v>7.989661440000001</v>
      </c>
      <c r="K332" s="12">
        <f t="shared" si="135"/>
        <v>10.795333248</v>
      </c>
      <c r="M332" s="127"/>
      <c r="N332" s="3">
        <f t="shared" si="137"/>
      </c>
      <c r="O332" s="12">
        <f t="shared" si="138"/>
      </c>
      <c r="P332" s="12">
        <f t="shared" si="138"/>
      </c>
      <c r="Q332" s="12">
        <f t="shared" si="140"/>
      </c>
      <c r="S332" s="127"/>
      <c r="T332" s="12">
        <f t="shared" si="141"/>
        <v>0</v>
      </c>
      <c r="U332" s="12">
        <f t="shared" si="142"/>
        <v>0</v>
      </c>
      <c r="V332" s="12">
        <f t="shared" si="139"/>
        <v>0</v>
      </c>
      <c r="W332" s="12">
        <f t="shared" si="139"/>
        <v>0</v>
      </c>
    </row>
    <row r="333" spans="1:23" ht="12.75">
      <c r="A333" s="127"/>
      <c r="B333" s="3" t="s">
        <v>143</v>
      </c>
      <c r="C333" s="3">
        <v>67.6</v>
      </c>
      <c r="D333" s="3">
        <v>101.2</v>
      </c>
      <c r="E333" s="31">
        <v>140.8</v>
      </c>
      <c r="G333" s="127"/>
      <c r="H333" s="3" t="s">
        <v>187</v>
      </c>
      <c r="I333" s="12">
        <f t="shared" si="136"/>
        <v>6.280245504</v>
      </c>
      <c r="J333" s="12">
        <f t="shared" si="135"/>
        <v>9.401787648</v>
      </c>
      <c r="K333" s="12">
        <f t="shared" si="135"/>
        <v>13.080748032000002</v>
      </c>
      <c r="M333" s="127" t="str">
        <f>IF(T333+T334+T335=0,"",G328)</f>
        <v>42"</v>
      </c>
      <c r="N333" s="3">
        <f t="shared" si="137"/>
      </c>
      <c r="O333" s="12">
        <f t="shared" si="138"/>
      </c>
      <c r="P333" s="12">
        <f t="shared" si="138"/>
      </c>
      <c r="Q333" s="12">
        <f t="shared" si="140"/>
      </c>
      <c r="S333" s="127" t="s">
        <v>73</v>
      </c>
      <c r="T333" s="12">
        <f t="shared" si="141"/>
        <v>0</v>
      </c>
      <c r="U333" s="12">
        <f t="shared" si="142"/>
        <v>0</v>
      </c>
      <c r="V333" s="12">
        <f t="shared" si="139"/>
        <v>0</v>
      </c>
      <c r="W333" s="12">
        <f t="shared" si="139"/>
        <v>0</v>
      </c>
    </row>
    <row r="334" spans="1:23" ht="12.75">
      <c r="A334" s="127" t="s">
        <v>75</v>
      </c>
      <c r="B334" s="3" t="s">
        <v>144</v>
      </c>
      <c r="C334" s="3">
        <v>67</v>
      </c>
      <c r="D334" s="3">
        <v>91.2</v>
      </c>
      <c r="E334" s="31">
        <v>119.7</v>
      </c>
      <c r="G334" s="127" t="s">
        <v>75</v>
      </c>
      <c r="H334" s="3" t="s">
        <v>188</v>
      </c>
      <c r="I334" s="12">
        <f t="shared" si="136"/>
        <v>6.224503680000001</v>
      </c>
      <c r="J334" s="12">
        <f t="shared" si="135"/>
        <v>8.472757248</v>
      </c>
      <c r="K334" s="12">
        <f t="shared" si="135"/>
        <v>11.120493888</v>
      </c>
      <c r="M334" s="127"/>
      <c r="N334" s="3">
        <f t="shared" si="137"/>
      </c>
      <c r="O334" s="12">
        <f t="shared" si="138"/>
      </c>
      <c r="P334" s="12">
        <f t="shared" si="138"/>
      </c>
      <c r="Q334" s="12">
        <f t="shared" si="140"/>
      </c>
      <c r="S334" s="127"/>
      <c r="T334" s="12">
        <f t="shared" si="141"/>
        <v>0</v>
      </c>
      <c r="U334" s="12">
        <f t="shared" si="142"/>
        <v>0</v>
      </c>
      <c r="V334" s="12">
        <f t="shared" si="139"/>
        <v>0</v>
      </c>
      <c r="W334" s="12">
        <f t="shared" si="139"/>
        <v>0</v>
      </c>
    </row>
    <row r="335" spans="1:23" ht="12.75">
      <c r="A335" s="127"/>
      <c r="B335" s="3" t="s">
        <v>145</v>
      </c>
      <c r="C335" s="3">
        <v>75.4</v>
      </c>
      <c r="D335" s="3">
        <v>107.9</v>
      </c>
      <c r="E335" s="31">
        <v>146.7</v>
      </c>
      <c r="G335" s="127"/>
      <c r="H335" s="3" t="s">
        <v>189</v>
      </c>
      <c r="I335" s="12">
        <f t="shared" si="136"/>
        <v>7.004889216000001</v>
      </c>
      <c r="J335" s="12">
        <f aca="true" t="shared" si="143" ref="J335:J351">D335*0.09290304</f>
        <v>10.024238016000002</v>
      </c>
      <c r="K335" s="12">
        <f aca="true" t="shared" si="144" ref="K335:K351">E335*0.09290304</f>
        <v>13.628875968</v>
      </c>
      <c r="M335" s="127"/>
      <c r="N335" s="3" t="str">
        <f t="shared" si="137"/>
        <v>42"-Largo</v>
      </c>
      <c r="O335" s="12">
        <f t="shared" si="138"/>
      </c>
      <c r="P335" s="12">
        <f t="shared" si="138"/>
      </c>
      <c r="Q335" s="12">
        <f t="shared" si="140"/>
        <v>10.070689536000001</v>
      </c>
      <c r="S335" s="127"/>
      <c r="T335" s="12">
        <f t="shared" si="141"/>
        <v>1</v>
      </c>
      <c r="U335" s="12">
        <f t="shared" si="142"/>
        <v>0</v>
      </c>
      <c r="V335" s="12">
        <f t="shared" si="139"/>
        <v>0</v>
      </c>
      <c r="W335" s="12">
        <f t="shared" si="139"/>
        <v>1</v>
      </c>
    </row>
    <row r="336" spans="1:23" ht="12.75">
      <c r="A336" s="127"/>
      <c r="B336" s="3" t="s">
        <v>146</v>
      </c>
      <c r="C336" s="3">
        <v>85.1</v>
      </c>
      <c r="D336" s="3">
        <v>126.9</v>
      </c>
      <c r="E336" s="31">
        <v>177.9</v>
      </c>
      <c r="G336" s="127"/>
      <c r="H336" s="3" t="s">
        <v>190</v>
      </c>
      <c r="I336" s="12">
        <f t="shared" si="136"/>
        <v>7.906048704</v>
      </c>
      <c r="J336" s="12">
        <f t="shared" si="143"/>
        <v>11.789395776000001</v>
      </c>
      <c r="K336" s="12">
        <f t="shared" si="144"/>
        <v>16.527450816</v>
      </c>
      <c r="M336" s="127" t="str">
        <f>IF(T336+T337+T338=0,"",G331)</f>
        <v>48"</v>
      </c>
      <c r="N336" s="3">
        <f t="shared" si="137"/>
      </c>
      <c r="O336" s="12">
        <f t="shared" si="138"/>
      </c>
      <c r="P336" s="12">
        <f t="shared" si="138"/>
      </c>
      <c r="Q336" s="12">
        <f t="shared" si="140"/>
      </c>
      <c r="S336" s="127" t="s">
        <v>74</v>
      </c>
      <c r="T336" s="12">
        <f t="shared" si="141"/>
        <v>0</v>
      </c>
      <c r="U336" s="12">
        <f t="shared" si="142"/>
        <v>0</v>
      </c>
      <c r="V336" s="12">
        <f t="shared" si="139"/>
        <v>0</v>
      </c>
      <c r="W336" s="12">
        <f t="shared" si="139"/>
        <v>0</v>
      </c>
    </row>
    <row r="337" spans="1:23" ht="12.75">
      <c r="A337" s="127" t="s">
        <v>76</v>
      </c>
      <c r="B337" s="3" t="s">
        <v>147</v>
      </c>
      <c r="C337" s="3">
        <v>83.4</v>
      </c>
      <c r="D337" s="3">
        <v>113.3</v>
      </c>
      <c r="E337" s="31">
        <v>147.7</v>
      </c>
      <c r="G337" s="127" t="s">
        <v>76</v>
      </c>
      <c r="H337" s="3" t="s">
        <v>191</v>
      </c>
      <c r="I337" s="12">
        <f t="shared" si="136"/>
        <v>7.748113536000001</v>
      </c>
      <c r="J337" s="12">
        <f t="shared" si="143"/>
        <v>10.525914432</v>
      </c>
      <c r="K337" s="12">
        <f t="shared" si="144"/>
        <v>13.721779008</v>
      </c>
      <c r="M337" s="127"/>
      <c r="N337" s="3" t="str">
        <f t="shared" si="137"/>
        <v>48"-Medio</v>
      </c>
      <c r="O337" s="12">
        <f t="shared" si="138"/>
      </c>
      <c r="P337" s="12">
        <f t="shared" si="138"/>
      </c>
      <c r="Q337" s="12">
        <f t="shared" si="140"/>
        <v>10.795333248</v>
      </c>
      <c r="S337" s="127"/>
      <c r="T337" s="12">
        <f t="shared" si="141"/>
        <v>1</v>
      </c>
      <c r="U337" s="12">
        <f t="shared" si="142"/>
        <v>0</v>
      </c>
      <c r="V337" s="12">
        <f t="shared" si="139"/>
        <v>0</v>
      </c>
      <c r="W337" s="12">
        <f t="shared" si="139"/>
        <v>1</v>
      </c>
    </row>
    <row r="338" spans="1:23" ht="12.75">
      <c r="A338" s="127"/>
      <c r="B338" s="3" t="s">
        <v>148</v>
      </c>
      <c r="C338" s="3">
        <v>93.6</v>
      </c>
      <c r="D338" s="3">
        <v>133.8</v>
      </c>
      <c r="E338" s="31">
        <v>180.8</v>
      </c>
      <c r="G338" s="127"/>
      <c r="H338" s="3" t="s">
        <v>192</v>
      </c>
      <c r="I338" s="12">
        <f t="shared" si="136"/>
        <v>8.695724544</v>
      </c>
      <c r="J338" s="12">
        <f t="shared" si="143"/>
        <v>12.430426752000002</v>
      </c>
      <c r="K338" s="12">
        <f t="shared" si="144"/>
        <v>16.796869632000003</v>
      </c>
      <c r="M338" s="127"/>
      <c r="N338" s="3" t="str">
        <f t="shared" si="137"/>
        <v>48"-Largo</v>
      </c>
      <c r="O338" s="12">
        <f t="shared" si="138"/>
      </c>
      <c r="P338" s="12">
        <f t="shared" si="138"/>
      </c>
      <c r="Q338" s="12">
        <f t="shared" si="140"/>
        <v>13.080748032000002</v>
      </c>
      <c r="S338" s="127"/>
      <c r="T338" s="12">
        <f t="shared" si="141"/>
        <v>1</v>
      </c>
      <c r="U338" s="12">
        <f t="shared" si="142"/>
        <v>0</v>
      </c>
      <c r="V338" s="12">
        <f t="shared" si="139"/>
        <v>0</v>
      </c>
      <c r="W338" s="12">
        <f t="shared" si="139"/>
        <v>1</v>
      </c>
    </row>
    <row r="339" spans="1:23" ht="12.75">
      <c r="A339" s="127"/>
      <c r="B339" s="3" t="s">
        <v>149</v>
      </c>
      <c r="C339" s="3">
        <v>105.6</v>
      </c>
      <c r="D339" s="3">
        <v>157.8</v>
      </c>
      <c r="E339" s="31">
        <v>218.8</v>
      </c>
      <c r="G339" s="127"/>
      <c r="H339" s="3" t="s">
        <v>193</v>
      </c>
      <c r="I339" s="12">
        <f t="shared" si="136"/>
        <v>9.810561024</v>
      </c>
      <c r="J339" s="12">
        <f t="shared" si="143"/>
        <v>14.660099712000003</v>
      </c>
      <c r="K339" s="12">
        <f t="shared" si="144"/>
        <v>20.327185152000002</v>
      </c>
      <c r="M339" s="127" t="str">
        <f>IF(T339+T340+T341=0,"",G334)</f>
        <v>54"</v>
      </c>
      <c r="N339" s="3" t="str">
        <f t="shared" si="137"/>
        <v>54"-Estreito</v>
      </c>
      <c r="O339" s="12">
        <f t="shared" si="138"/>
      </c>
      <c r="P339" s="12">
        <f t="shared" si="138"/>
      </c>
      <c r="Q339" s="12">
        <f t="shared" si="140"/>
        <v>11.120493888</v>
      </c>
      <c r="S339" s="127" t="s">
        <v>75</v>
      </c>
      <c r="T339" s="12">
        <f t="shared" si="141"/>
        <v>1</v>
      </c>
      <c r="U339" s="12">
        <f t="shared" si="142"/>
        <v>0</v>
      </c>
      <c r="V339" s="12">
        <f t="shared" si="139"/>
        <v>0</v>
      </c>
      <c r="W339" s="12">
        <f t="shared" si="139"/>
        <v>1</v>
      </c>
    </row>
    <row r="340" spans="1:23" ht="12.75">
      <c r="A340" s="127" t="s">
        <v>77</v>
      </c>
      <c r="B340" s="3" t="s">
        <v>150</v>
      </c>
      <c r="C340" s="3">
        <v>100.3</v>
      </c>
      <c r="D340" s="3">
        <v>136.5</v>
      </c>
      <c r="E340" s="31">
        <v>177.7</v>
      </c>
      <c r="G340" s="127" t="s">
        <v>77</v>
      </c>
      <c r="H340" s="3" t="s">
        <v>194</v>
      </c>
      <c r="I340" s="12">
        <f t="shared" si="136"/>
        <v>9.318174912</v>
      </c>
      <c r="J340" s="12">
        <f t="shared" si="143"/>
        <v>12.68126496</v>
      </c>
      <c r="K340" s="12">
        <f t="shared" si="144"/>
        <v>16.508870208</v>
      </c>
      <c r="M340" s="127"/>
      <c r="N340" s="3" t="str">
        <f t="shared" si="137"/>
        <v>54"-Medio</v>
      </c>
      <c r="O340" s="12">
        <f aca="true" t="shared" si="145" ref="O340:O356">IF($K$314&gt;=I335,"",I335)</f>
      </c>
      <c r="P340" s="12">
        <f aca="true" t="shared" si="146" ref="P340:P356">IF($K$314&gt;=J335,"",J335)</f>
        <v>10.024238016000002</v>
      </c>
      <c r="Q340" s="12">
        <f t="shared" si="140"/>
        <v>13.628875968</v>
      </c>
      <c r="S340" s="127"/>
      <c r="T340" s="12">
        <f t="shared" si="141"/>
        <v>1</v>
      </c>
      <c r="U340" s="12">
        <f t="shared" si="142"/>
        <v>0</v>
      </c>
      <c r="V340" s="12">
        <f aca="true" t="shared" si="147" ref="V340:V356">IF(P340="",0,1)</f>
        <v>1</v>
      </c>
      <c r="W340" s="12">
        <f aca="true" t="shared" si="148" ref="W340:W356">IF(Q340="",0,1)</f>
        <v>1</v>
      </c>
    </row>
    <row r="341" spans="1:23" ht="12.75">
      <c r="A341" s="127"/>
      <c r="B341" s="3" t="s">
        <v>151</v>
      </c>
      <c r="C341" s="3">
        <v>112.9</v>
      </c>
      <c r="D341" s="3">
        <v>161.5</v>
      </c>
      <c r="E341" s="31">
        <v>218.4</v>
      </c>
      <c r="G341" s="127"/>
      <c r="H341" s="3" t="s">
        <v>195</v>
      </c>
      <c r="I341" s="12">
        <f t="shared" si="136"/>
        <v>10.488753216000001</v>
      </c>
      <c r="J341" s="12">
        <f t="shared" si="143"/>
        <v>15.003840960000002</v>
      </c>
      <c r="K341" s="12">
        <f t="shared" si="144"/>
        <v>20.290023936</v>
      </c>
      <c r="M341" s="127"/>
      <c r="N341" s="3" t="str">
        <f t="shared" si="137"/>
        <v>54"-Largo</v>
      </c>
      <c r="O341" s="12">
        <f t="shared" si="145"/>
      </c>
      <c r="P341" s="12">
        <f t="shared" si="146"/>
        <v>11.789395776000001</v>
      </c>
      <c r="Q341" s="12">
        <f t="shared" si="140"/>
        <v>16.527450816</v>
      </c>
      <c r="S341" s="127"/>
      <c r="T341" s="12">
        <f t="shared" si="141"/>
        <v>1</v>
      </c>
      <c r="U341" s="12">
        <f t="shared" si="142"/>
        <v>0</v>
      </c>
      <c r="V341" s="12">
        <f t="shared" si="147"/>
        <v>1</v>
      </c>
      <c r="W341" s="12">
        <f t="shared" si="148"/>
        <v>1</v>
      </c>
    </row>
    <row r="342" spans="1:23" ht="12.75">
      <c r="A342" s="127"/>
      <c r="B342" s="3" t="s">
        <v>152</v>
      </c>
      <c r="C342" s="3">
        <v>127.4</v>
      </c>
      <c r="D342" s="3">
        <v>190.4</v>
      </c>
      <c r="E342" s="31">
        <v>265.6</v>
      </c>
      <c r="G342" s="127"/>
      <c r="H342" s="3" t="s">
        <v>196</v>
      </c>
      <c r="I342" s="12">
        <f t="shared" si="136"/>
        <v>11.835847296</v>
      </c>
      <c r="J342" s="12">
        <f t="shared" si="143"/>
        <v>17.688738816</v>
      </c>
      <c r="K342" s="12">
        <f t="shared" si="144"/>
        <v>24.675047424000002</v>
      </c>
      <c r="M342" s="127" t="str">
        <f>IF(T342+T343+T344=0,"",G337)</f>
        <v>60"</v>
      </c>
      <c r="N342" s="3" t="str">
        <f t="shared" si="137"/>
        <v>60"-Estreito</v>
      </c>
      <c r="O342" s="12">
        <f t="shared" si="145"/>
      </c>
      <c r="P342" s="12">
        <f t="shared" si="146"/>
        <v>10.525914432</v>
      </c>
      <c r="Q342" s="12">
        <f t="shared" si="140"/>
        <v>13.721779008</v>
      </c>
      <c r="S342" s="127" t="s">
        <v>76</v>
      </c>
      <c r="T342" s="12">
        <f t="shared" si="141"/>
        <v>1</v>
      </c>
      <c r="U342" s="12">
        <f t="shared" si="142"/>
        <v>0</v>
      </c>
      <c r="V342" s="12">
        <f t="shared" si="147"/>
        <v>1</v>
      </c>
      <c r="W342" s="12">
        <f t="shared" si="148"/>
        <v>1</v>
      </c>
    </row>
    <row r="343" spans="1:23" ht="12.75">
      <c r="A343" s="127" t="s">
        <v>78</v>
      </c>
      <c r="B343" s="3" t="s">
        <v>153</v>
      </c>
      <c r="C343" s="3">
        <v>118.4</v>
      </c>
      <c r="D343" s="3">
        <v>161.5</v>
      </c>
      <c r="E343" s="31">
        <v>209.8</v>
      </c>
      <c r="G343" s="127" t="s">
        <v>78</v>
      </c>
      <c r="H343" s="3" t="s">
        <v>197</v>
      </c>
      <c r="I343" s="12">
        <f t="shared" si="136"/>
        <v>10.999719936000002</v>
      </c>
      <c r="J343" s="12">
        <f t="shared" si="143"/>
        <v>15.003840960000002</v>
      </c>
      <c r="K343" s="12">
        <f t="shared" si="144"/>
        <v>19.491057792000003</v>
      </c>
      <c r="M343" s="127"/>
      <c r="N343" s="3" t="str">
        <f t="shared" si="137"/>
        <v>60"-Medio</v>
      </c>
      <c r="O343" s="12">
        <f t="shared" si="145"/>
      </c>
      <c r="P343" s="12">
        <f t="shared" si="146"/>
        <v>12.430426752000002</v>
      </c>
      <c r="Q343" s="12">
        <f t="shared" si="140"/>
        <v>16.796869632000003</v>
      </c>
      <c r="S343" s="127"/>
      <c r="T343" s="12">
        <f t="shared" si="141"/>
        <v>1</v>
      </c>
      <c r="U343" s="12">
        <f t="shared" si="142"/>
        <v>0</v>
      </c>
      <c r="V343" s="12">
        <f t="shared" si="147"/>
        <v>1</v>
      </c>
      <c r="W343" s="12">
        <f t="shared" si="148"/>
        <v>1</v>
      </c>
    </row>
    <row r="344" spans="1:23" ht="12.75">
      <c r="A344" s="127"/>
      <c r="B344" s="3" t="s">
        <v>154</v>
      </c>
      <c r="C344" s="3">
        <v>133.4</v>
      </c>
      <c r="D344" s="3">
        <v>191.4</v>
      </c>
      <c r="E344" s="31">
        <v>257.9</v>
      </c>
      <c r="G344" s="127"/>
      <c r="H344" s="3" t="s">
        <v>198</v>
      </c>
      <c r="I344" s="12">
        <f t="shared" si="136"/>
        <v>12.393265536000001</v>
      </c>
      <c r="J344" s="12">
        <f t="shared" si="143"/>
        <v>17.781641856</v>
      </c>
      <c r="K344" s="12">
        <f t="shared" si="144"/>
        <v>23.959694016</v>
      </c>
      <c r="M344" s="127"/>
      <c r="N344" s="3" t="str">
        <f t="shared" si="137"/>
        <v>60"-Largo</v>
      </c>
      <c r="O344" s="12">
        <f t="shared" si="145"/>
      </c>
      <c r="P344" s="12">
        <f t="shared" si="146"/>
        <v>14.660099712000003</v>
      </c>
      <c r="Q344" s="12">
        <f t="shared" si="140"/>
        <v>20.327185152000002</v>
      </c>
      <c r="S344" s="127"/>
      <c r="T344" s="12">
        <f t="shared" si="141"/>
        <v>1</v>
      </c>
      <c r="U344" s="12">
        <f t="shared" si="142"/>
        <v>0</v>
      </c>
      <c r="V344" s="12">
        <f t="shared" si="147"/>
        <v>1</v>
      </c>
      <c r="W344" s="12">
        <f t="shared" si="148"/>
        <v>1</v>
      </c>
    </row>
    <row r="345" spans="1:23" ht="12.75">
      <c r="A345" s="127"/>
      <c r="B345" s="3" t="s">
        <v>155</v>
      </c>
      <c r="C345" s="3">
        <v>151</v>
      </c>
      <c r="D345" s="3">
        <v>225.2</v>
      </c>
      <c r="E345" s="31">
        <v>313.2</v>
      </c>
      <c r="G345" s="127"/>
      <c r="H345" s="3" t="s">
        <v>199</v>
      </c>
      <c r="I345" s="12">
        <f t="shared" si="136"/>
        <v>14.028359040000002</v>
      </c>
      <c r="J345" s="12">
        <f t="shared" si="143"/>
        <v>20.921764608</v>
      </c>
      <c r="K345" s="12">
        <f t="shared" si="144"/>
        <v>29.097232128</v>
      </c>
      <c r="M345" s="127" t="str">
        <f>IF(T345+T346+T347=0,"",G340)</f>
        <v>66"</v>
      </c>
      <c r="N345" s="3" t="str">
        <f t="shared" si="137"/>
        <v>66"-Estreito</v>
      </c>
      <c r="O345" s="12">
        <f t="shared" si="145"/>
      </c>
      <c r="P345" s="12">
        <f t="shared" si="146"/>
        <v>12.68126496</v>
      </c>
      <c r="Q345" s="12">
        <f t="shared" si="140"/>
        <v>16.508870208</v>
      </c>
      <c r="S345" s="127" t="s">
        <v>77</v>
      </c>
      <c r="T345" s="12">
        <f t="shared" si="141"/>
        <v>1</v>
      </c>
      <c r="U345" s="12">
        <f t="shared" si="142"/>
        <v>0</v>
      </c>
      <c r="V345" s="12">
        <f t="shared" si="147"/>
        <v>1</v>
      </c>
      <c r="W345" s="12">
        <f t="shared" si="148"/>
        <v>1</v>
      </c>
    </row>
    <row r="346" spans="1:23" ht="12.75">
      <c r="A346" s="127" t="s">
        <v>79</v>
      </c>
      <c r="B346" s="3" t="s">
        <v>156</v>
      </c>
      <c r="C346" s="3">
        <v>138.5</v>
      </c>
      <c r="D346" s="3">
        <v>188.4</v>
      </c>
      <c r="E346" s="31">
        <v>245.2</v>
      </c>
      <c r="G346" s="127" t="s">
        <v>79</v>
      </c>
      <c r="H346" s="3" t="s">
        <v>200</v>
      </c>
      <c r="I346" s="12">
        <f t="shared" si="136"/>
        <v>12.86707104</v>
      </c>
      <c r="J346" s="12">
        <f t="shared" si="143"/>
        <v>17.502932736</v>
      </c>
      <c r="K346" s="12">
        <f t="shared" si="144"/>
        <v>22.779825408</v>
      </c>
      <c r="M346" s="127"/>
      <c r="N346" s="3" t="str">
        <f t="shared" si="137"/>
        <v>66"-Medio</v>
      </c>
      <c r="O346" s="12">
        <f t="shared" si="145"/>
        <v>10.488753216000001</v>
      </c>
      <c r="P346" s="12">
        <f t="shared" si="146"/>
        <v>15.003840960000002</v>
      </c>
      <c r="Q346" s="12">
        <f t="shared" si="140"/>
        <v>20.290023936</v>
      </c>
      <c r="S346" s="127"/>
      <c r="T346" s="12">
        <f t="shared" si="141"/>
        <v>1</v>
      </c>
      <c r="U346" s="12">
        <f t="shared" si="142"/>
        <v>1</v>
      </c>
      <c r="V346" s="12">
        <f t="shared" si="147"/>
        <v>1</v>
      </c>
      <c r="W346" s="12">
        <f t="shared" si="148"/>
        <v>1</v>
      </c>
    </row>
    <row r="347" spans="1:23" ht="12.75">
      <c r="A347" s="127"/>
      <c r="B347" s="3" t="s">
        <v>157</v>
      </c>
      <c r="C347" s="3">
        <v>156.3</v>
      </c>
      <c r="D347" s="3">
        <v>224.3</v>
      </c>
      <c r="E347" s="31">
        <v>302.2</v>
      </c>
      <c r="G347" s="127"/>
      <c r="H347" s="3" t="s">
        <v>201</v>
      </c>
      <c r="I347" s="12">
        <f t="shared" si="136"/>
        <v>14.520745152000002</v>
      </c>
      <c r="J347" s="12">
        <f t="shared" si="143"/>
        <v>20.838151872</v>
      </c>
      <c r="K347" s="12">
        <f t="shared" si="144"/>
        <v>28.075298688</v>
      </c>
      <c r="M347" s="127"/>
      <c r="N347" s="3" t="str">
        <f t="shared" si="137"/>
        <v>66"-Largo</v>
      </c>
      <c r="O347" s="12">
        <f t="shared" si="145"/>
        <v>11.835847296</v>
      </c>
      <c r="P347" s="12">
        <f t="shared" si="146"/>
        <v>17.688738816</v>
      </c>
      <c r="Q347" s="12">
        <f t="shared" si="140"/>
        <v>24.675047424000002</v>
      </c>
      <c r="S347" s="127"/>
      <c r="T347" s="12">
        <f t="shared" si="141"/>
        <v>1</v>
      </c>
      <c r="U347" s="12">
        <f t="shared" si="142"/>
        <v>1</v>
      </c>
      <c r="V347" s="12">
        <f t="shared" si="147"/>
        <v>1</v>
      </c>
      <c r="W347" s="12">
        <f t="shared" si="148"/>
        <v>1</v>
      </c>
    </row>
    <row r="348" spans="1:23" ht="12.75">
      <c r="A348" s="127"/>
      <c r="B348" s="3" t="s">
        <v>158</v>
      </c>
      <c r="C348" s="3">
        <v>176.9</v>
      </c>
      <c r="D348" s="3">
        <v>264.6</v>
      </c>
      <c r="E348" s="31">
        <v>367.8</v>
      </c>
      <c r="G348" s="127"/>
      <c r="H348" s="3" t="s">
        <v>202</v>
      </c>
      <c r="I348" s="12">
        <f t="shared" si="136"/>
        <v>16.434547776000002</v>
      </c>
      <c r="J348" s="12">
        <f t="shared" si="143"/>
        <v>24.582144384000003</v>
      </c>
      <c r="K348" s="12">
        <f t="shared" si="144"/>
        <v>34.169738112000005</v>
      </c>
      <c r="M348" s="127" t="str">
        <f>IF(T348+T349+T350=0,"",G343)</f>
        <v>72"</v>
      </c>
      <c r="N348" s="3" t="str">
        <f t="shared" si="137"/>
        <v>72"-Estreito</v>
      </c>
      <c r="O348" s="12">
        <f t="shared" si="145"/>
        <v>10.999719936000002</v>
      </c>
      <c r="P348" s="12">
        <f t="shared" si="146"/>
        <v>15.003840960000002</v>
      </c>
      <c r="Q348" s="12">
        <f t="shared" si="140"/>
        <v>19.491057792000003</v>
      </c>
      <c r="S348" s="127" t="s">
        <v>78</v>
      </c>
      <c r="T348" s="12">
        <f t="shared" si="141"/>
        <v>1</v>
      </c>
      <c r="U348" s="12">
        <f t="shared" si="142"/>
        <v>1</v>
      </c>
      <c r="V348" s="12">
        <f t="shared" si="147"/>
        <v>1</v>
      </c>
      <c r="W348" s="12">
        <f t="shared" si="148"/>
        <v>1</v>
      </c>
    </row>
    <row r="349" spans="1:23" ht="12.75">
      <c r="A349" s="127" t="s">
        <v>80</v>
      </c>
      <c r="B349" s="3" t="s">
        <v>159</v>
      </c>
      <c r="C349" s="3">
        <v>160.3</v>
      </c>
      <c r="D349" s="3">
        <v>217.6</v>
      </c>
      <c r="E349" s="31">
        <v>283.4</v>
      </c>
      <c r="G349" s="127" t="s">
        <v>80</v>
      </c>
      <c r="H349" s="3" t="s">
        <v>203</v>
      </c>
      <c r="I349" s="12">
        <f t="shared" si="136"/>
        <v>14.892357312000001</v>
      </c>
      <c r="J349" s="12">
        <f t="shared" si="143"/>
        <v>20.215701504000002</v>
      </c>
      <c r="K349" s="12">
        <f t="shared" si="144"/>
        <v>26.328721536</v>
      </c>
      <c r="M349" s="127"/>
      <c r="N349" s="3" t="str">
        <f t="shared" si="137"/>
        <v>72"-Medio</v>
      </c>
      <c r="O349" s="12">
        <f t="shared" si="145"/>
        <v>12.393265536000001</v>
      </c>
      <c r="P349" s="12">
        <f t="shared" si="146"/>
        <v>17.781641856</v>
      </c>
      <c r="Q349" s="12">
        <f t="shared" si="140"/>
        <v>23.959694016</v>
      </c>
      <c r="S349" s="127"/>
      <c r="T349" s="12">
        <f t="shared" si="141"/>
        <v>1</v>
      </c>
      <c r="U349" s="12">
        <f t="shared" si="142"/>
        <v>1</v>
      </c>
      <c r="V349" s="12">
        <f t="shared" si="147"/>
        <v>1</v>
      </c>
      <c r="W349" s="12">
        <f t="shared" si="148"/>
        <v>1</v>
      </c>
    </row>
    <row r="350" spans="1:23" ht="12.75">
      <c r="A350" s="127"/>
      <c r="B350" s="3" t="s">
        <v>160</v>
      </c>
      <c r="C350" s="3">
        <v>181.4</v>
      </c>
      <c r="D350" s="3">
        <v>259</v>
      </c>
      <c r="E350" s="31">
        <v>350.1</v>
      </c>
      <c r="G350" s="127"/>
      <c r="H350" s="3" t="s">
        <v>204</v>
      </c>
      <c r="I350" s="12">
        <f t="shared" si="136"/>
        <v>16.852611456</v>
      </c>
      <c r="J350" s="12">
        <f t="shared" si="143"/>
        <v>24.06188736</v>
      </c>
      <c r="K350" s="12">
        <f t="shared" si="144"/>
        <v>32.525354304000004</v>
      </c>
      <c r="M350" s="127"/>
      <c r="N350" s="3" t="str">
        <f t="shared" si="137"/>
        <v>72"-Largo</v>
      </c>
      <c r="O350" s="12">
        <f t="shared" si="145"/>
        <v>14.028359040000002</v>
      </c>
      <c r="P350" s="12">
        <f t="shared" si="146"/>
        <v>20.921764608</v>
      </c>
      <c r="Q350" s="12">
        <f t="shared" si="140"/>
        <v>29.097232128</v>
      </c>
      <c r="S350" s="127"/>
      <c r="T350" s="12">
        <f t="shared" si="141"/>
        <v>1</v>
      </c>
      <c r="U350" s="12">
        <f t="shared" si="142"/>
        <v>1</v>
      </c>
      <c r="V350" s="12">
        <f t="shared" si="147"/>
        <v>1</v>
      </c>
      <c r="W350" s="12">
        <f t="shared" si="148"/>
        <v>1</v>
      </c>
    </row>
    <row r="351" spans="1:23" ht="12.75">
      <c r="A351" s="127"/>
      <c r="B351" s="3" t="s">
        <v>161</v>
      </c>
      <c r="C351" s="3">
        <v>205.5</v>
      </c>
      <c r="D351" s="3">
        <v>306.7</v>
      </c>
      <c r="E351" s="31">
        <v>426.6</v>
      </c>
      <c r="G351" s="127"/>
      <c r="H351" s="3" t="s">
        <v>205</v>
      </c>
      <c r="I351" s="12">
        <f t="shared" si="136"/>
        <v>19.09157472</v>
      </c>
      <c r="J351" s="12">
        <f t="shared" si="143"/>
        <v>28.493362368</v>
      </c>
      <c r="K351" s="12">
        <f t="shared" si="144"/>
        <v>39.632436864000006</v>
      </c>
      <c r="M351" s="127" t="str">
        <f>IF(T351+T352+T353=0,"",G346)</f>
        <v>78"</v>
      </c>
      <c r="N351" s="3" t="str">
        <f t="shared" si="137"/>
        <v>78"-Estreito</v>
      </c>
      <c r="O351" s="12">
        <f t="shared" si="145"/>
        <v>12.86707104</v>
      </c>
      <c r="P351" s="12">
        <f t="shared" si="146"/>
        <v>17.502932736</v>
      </c>
      <c r="Q351" s="12">
        <f t="shared" si="140"/>
        <v>22.779825408</v>
      </c>
      <c r="S351" s="127" t="s">
        <v>79</v>
      </c>
      <c r="T351" s="12">
        <f t="shared" si="141"/>
        <v>1</v>
      </c>
      <c r="U351" s="12">
        <f t="shared" si="142"/>
        <v>1</v>
      </c>
      <c r="V351" s="12">
        <f t="shared" si="147"/>
        <v>1</v>
      </c>
      <c r="W351" s="12">
        <f t="shared" si="148"/>
        <v>1</v>
      </c>
    </row>
    <row r="352" spans="13:23" ht="12.75">
      <c r="M352" s="127"/>
      <c r="N352" s="3" t="str">
        <f t="shared" si="137"/>
        <v>78"-Medio</v>
      </c>
      <c r="O352" s="12">
        <f t="shared" si="145"/>
        <v>14.520745152000002</v>
      </c>
      <c r="P352" s="12">
        <f t="shared" si="146"/>
        <v>20.838151872</v>
      </c>
      <c r="Q352" s="12">
        <f t="shared" si="140"/>
        <v>28.075298688</v>
      </c>
      <c r="S352" s="127"/>
      <c r="T352" s="12">
        <f t="shared" si="141"/>
        <v>1</v>
      </c>
      <c r="U352" s="12">
        <f t="shared" si="142"/>
        <v>1</v>
      </c>
      <c r="V352" s="12">
        <f t="shared" si="147"/>
        <v>1</v>
      </c>
      <c r="W352" s="12">
        <f t="shared" si="148"/>
        <v>1</v>
      </c>
    </row>
    <row r="353" spans="13:23" ht="12.75">
      <c r="M353" s="127"/>
      <c r="N353" s="3" t="str">
        <f t="shared" si="137"/>
        <v>78"-Largo</v>
      </c>
      <c r="O353" s="12">
        <f t="shared" si="145"/>
        <v>16.434547776000002</v>
      </c>
      <c r="P353" s="12">
        <f t="shared" si="146"/>
        <v>24.582144384000003</v>
      </c>
      <c r="Q353" s="12">
        <f t="shared" si="140"/>
        <v>34.169738112000005</v>
      </c>
      <c r="S353" s="127"/>
      <c r="T353" s="12">
        <f t="shared" si="141"/>
        <v>1</v>
      </c>
      <c r="U353" s="12">
        <f t="shared" si="142"/>
        <v>1</v>
      </c>
      <c r="V353" s="12">
        <f t="shared" si="147"/>
        <v>1</v>
      </c>
      <c r="W353" s="12">
        <f t="shared" si="148"/>
        <v>1</v>
      </c>
    </row>
    <row r="354" spans="13:23" ht="12.75">
      <c r="M354" s="127" t="str">
        <f>IF(T354+T355+T356=0,"",G349)</f>
        <v>84"</v>
      </c>
      <c r="N354" s="3" t="str">
        <f t="shared" si="137"/>
        <v>84"-Estreito</v>
      </c>
      <c r="O354" s="12">
        <f t="shared" si="145"/>
        <v>14.892357312000001</v>
      </c>
      <c r="P354" s="12">
        <f t="shared" si="146"/>
        <v>20.215701504000002</v>
      </c>
      <c r="Q354" s="12">
        <f t="shared" si="140"/>
        <v>26.328721536</v>
      </c>
      <c r="S354" s="127" t="s">
        <v>80</v>
      </c>
      <c r="T354" s="12">
        <f t="shared" si="141"/>
        <v>1</v>
      </c>
      <c r="U354" s="12">
        <f t="shared" si="142"/>
        <v>1</v>
      </c>
      <c r="V354" s="12">
        <f t="shared" si="147"/>
        <v>1</v>
      </c>
      <c r="W354" s="12">
        <f t="shared" si="148"/>
        <v>1</v>
      </c>
    </row>
    <row r="355" spans="13:23" ht="12.75">
      <c r="M355" s="127"/>
      <c r="N355" s="3" t="str">
        <f t="shared" si="137"/>
        <v>84"-Medio</v>
      </c>
      <c r="O355" s="12">
        <f t="shared" si="145"/>
        <v>16.852611456</v>
      </c>
      <c r="P355" s="12">
        <f t="shared" si="146"/>
        <v>24.06188736</v>
      </c>
      <c r="Q355" s="12">
        <f t="shared" si="140"/>
        <v>32.525354304000004</v>
      </c>
      <c r="S355" s="127"/>
      <c r="T355" s="12">
        <f t="shared" si="141"/>
        <v>1</v>
      </c>
      <c r="U355" s="12">
        <f t="shared" si="142"/>
        <v>1</v>
      </c>
      <c r="V355" s="12">
        <f t="shared" si="147"/>
        <v>1</v>
      </c>
      <c r="W355" s="12">
        <f t="shared" si="148"/>
        <v>1</v>
      </c>
    </row>
    <row r="356" spans="13:23" ht="12.75">
      <c r="M356" s="127"/>
      <c r="N356" s="3" t="str">
        <f t="shared" si="137"/>
        <v>84"-Largo</v>
      </c>
      <c r="O356" s="12">
        <f t="shared" si="145"/>
        <v>19.09157472</v>
      </c>
      <c r="P356" s="12">
        <f t="shared" si="146"/>
        <v>28.493362368</v>
      </c>
      <c r="Q356" s="12">
        <f t="shared" si="140"/>
        <v>39.632436864000006</v>
      </c>
      <c r="S356" s="127"/>
      <c r="T356" s="12">
        <f t="shared" si="141"/>
        <v>1</v>
      </c>
      <c r="U356" s="12">
        <f t="shared" si="142"/>
        <v>1</v>
      </c>
      <c r="V356" s="12">
        <f t="shared" si="147"/>
        <v>1</v>
      </c>
      <c r="W356" s="12">
        <f t="shared" si="148"/>
        <v>1</v>
      </c>
    </row>
    <row r="358" spans="15:17" ht="12.75">
      <c r="O358">
        <v>100</v>
      </c>
      <c r="P358">
        <v>125</v>
      </c>
      <c r="Q358">
        <v>150</v>
      </c>
    </row>
  </sheetData>
  <sheetProtection password="8E6E" sheet="1" objects="1" scenarios="1" selectLockedCells="1"/>
  <mergeCells count="103">
    <mergeCell ref="S345:S347"/>
    <mergeCell ref="S348:S350"/>
    <mergeCell ref="S351:S353"/>
    <mergeCell ref="S354:S356"/>
    <mergeCell ref="M348:M350"/>
    <mergeCell ref="M351:M353"/>
    <mergeCell ref="M354:M356"/>
    <mergeCell ref="M345:M347"/>
    <mergeCell ref="S324:S326"/>
    <mergeCell ref="S327:S329"/>
    <mergeCell ref="S330:S332"/>
    <mergeCell ref="S333:S335"/>
    <mergeCell ref="S336:S338"/>
    <mergeCell ref="S339:S341"/>
    <mergeCell ref="S342:S344"/>
    <mergeCell ref="G346:G348"/>
    <mergeCell ref="G349:G351"/>
    <mergeCell ref="M324:M326"/>
    <mergeCell ref="M327:M329"/>
    <mergeCell ref="M330:M332"/>
    <mergeCell ref="M333:M335"/>
    <mergeCell ref="M336:M338"/>
    <mergeCell ref="M339:M341"/>
    <mergeCell ref="M342:M344"/>
    <mergeCell ref="A349:A351"/>
    <mergeCell ref="G319:G321"/>
    <mergeCell ref="G322:G324"/>
    <mergeCell ref="G325:G327"/>
    <mergeCell ref="G328:G330"/>
    <mergeCell ref="G331:G333"/>
    <mergeCell ref="G334:G336"/>
    <mergeCell ref="G337:G339"/>
    <mergeCell ref="G340:G342"/>
    <mergeCell ref="G343:G345"/>
    <mergeCell ref="A337:A339"/>
    <mergeCell ref="A340:A342"/>
    <mergeCell ref="A343:A345"/>
    <mergeCell ref="A346:A348"/>
    <mergeCell ref="A325:A327"/>
    <mergeCell ref="A328:A330"/>
    <mergeCell ref="A331:A333"/>
    <mergeCell ref="A334:A336"/>
    <mergeCell ref="A319:A321"/>
    <mergeCell ref="A322:A324"/>
    <mergeCell ref="D100:E100"/>
    <mergeCell ref="D101:E101"/>
    <mergeCell ref="D102:E102"/>
    <mergeCell ref="D103:E103"/>
    <mergeCell ref="D104:E104"/>
    <mergeCell ref="D105:E105"/>
    <mergeCell ref="A1:J1"/>
    <mergeCell ref="D2:J2"/>
    <mergeCell ref="A12:J12"/>
    <mergeCell ref="A50:J50"/>
    <mergeCell ref="A2:C4"/>
    <mergeCell ref="D99:E99"/>
    <mergeCell ref="H99:I99"/>
    <mergeCell ref="D109:E109"/>
    <mergeCell ref="F109:G109"/>
    <mergeCell ref="H105:I105"/>
    <mergeCell ref="H106:I106"/>
    <mergeCell ref="H107:I107"/>
    <mergeCell ref="A51:C53"/>
    <mergeCell ref="D51:J51"/>
    <mergeCell ref="A61:J61"/>
    <mergeCell ref="A62:C64"/>
    <mergeCell ref="D62:J62"/>
    <mergeCell ref="F107:G107"/>
    <mergeCell ref="A13:C15"/>
    <mergeCell ref="D13:J13"/>
    <mergeCell ref="D106:E106"/>
    <mergeCell ref="D107:E107"/>
    <mergeCell ref="D108:E108"/>
    <mergeCell ref="H103:I103"/>
    <mergeCell ref="D110:E110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D141:E141"/>
    <mergeCell ref="H108:I108"/>
    <mergeCell ref="H109:I109"/>
    <mergeCell ref="H110:I110"/>
    <mergeCell ref="A98:I98"/>
    <mergeCell ref="A112:C112"/>
    <mergeCell ref="F110:G110"/>
    <mergeCell ref="H100:I100"/>
    <mergeCell ref="H101:I101"/>
    <mergeCell ref="H102:I102"/>
    <mergeCell ref="F141:G141"/>
    <mergeCell ref="H104:I104"/>
    <mergeCell ref="F108:G108"/>
    <mergeCell ref="B156:C156"/>
    <mergeCell ref="D156:E156"/>
    <mergeCell ref="F156:G156"/>
    <mergeCell ref="B125:C125"/>
    <mergeCell ref="D125:E125"/>
    <mergeCell ref="F125:G125"/>
    <mergeCell ref="B141:C141"/>
  </mergeCells>
  <printOptions/>
  <pageMargins left="0.787401575" right="0.787401575" top="0.984251969" bottom="0.984251969" header="0.5" footer="0.5"/>
  <pageSetup horizontalDpi="600" verticalDpi="600" orientation="portrait" r:id="rId4"/>
  <drawing r:id="rId3"/>
  <legacyDrawing r:id="rId2"/>
  <oleObjects>
    <oleObject progId="Equation.3" shapeId="13447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Hatch</dc:creator>
  <cp:keywords/>
  <dc:description/>
  <cp:lastModifiedBy>Dennis Travagini Cremonese</cp:lastModifiedBy>
  <cp:lastPrinted>2014-08-19T02:29:10Z</cp:lastPrinted>
  <dcterms:created xsi:type="dcterms:W3CDTF">2008-09-10T14:12:04Z</dcterms:created>
  <dcterms:modified xsi:type="dcterms:W3CDTF">2014-08-19T02:29:16Z</dcterms:modified>
  <cp:category/>
  <cp:version/>
  <cp:contentType/>
  <cp:contentStatus/>
</cp:coreProperties>
</file>