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15" yWindow="2760" windowWidth="18795" windowHeight="7650" tabRatio="652" activeTab="0"/>
  </bookViews>
  <sheets>
    <sheet name="Modo de usar a planilha" sheetId="1" r:id="rId1"/>
    <sheet name="Dimensionamento de Moinhos" sheetId="2" r:id="rId2"/>
    <sheet name="Consumo e Desgaste do Moinho" sheetId="3" state="veryHidden" r:id="rId3"/>
    <sheet name="Moinho de Barras" sheetId="4" state="veryHidden" r:id="rId4"/>
    <sheet name="Moinho de Bolas" sheetId="5" state="veryHidden" r:id="rId5"/>
    <sheet name="Dados" sheetId="6" state="veryHidden" r:id="rId6"/>
    <sheet name="Cálculos" sheetId="7" state="veryHidden" r:id="rId7"/>
    <sheet name="Validação dos Cálculos" sheetId="8" state="veryHidden" r:id="rId8"/>
  </sheets>
  <definedNames>
    <definedName name="_xlnm.Print_Area" localSheetId="2">'Consumo e Desgaste do Moinho'!$A$1:$I$79</definedName>
    <definedName name="_xlnm.Print_Area" localSheetId="5">'Dados'!$G$1:$V$39</definedName>
    <definedName name="_xlnm.Print_Area" localSheetId="1">'Dimensionamento de Moinhos'!$A$1:$I$81</definedName>
    <definedName name="_xlnm.Print_Area" localSheetId="4">'Moinho de Bolas'!$A$1:$P$36</definedName>
    <definedName name="dianom">'Moinho de Bolas'!$B$3:$B$36</definedName>
    <definedName name="dianommetros">'Moinho de Bolas'!$A$3:$A$36</definedName>
    <definedName name="moinhocircuito" localSheetId="2">'Consumo e Desgaste do Moinho'!$L$70:$L$75</definedName>
    <definedName name="moinhocircuito" localSheetId="5">'Dados'!$N$150:$N$155</definedName>
    <definedName name="moinhocircuito">'Dimensionamento de Moinhos'!$L$70:$L$75</definedName>
    <definedName name="refcontrole" localSheetId="2">'Consumo e Desgaste do Moinho'!$K$55:$K$62</definedName>
    <definedName name="refcontrole" localSheetId="5">'Dados'!$M$135:$M$142</definedName>
    <definedName name="refcontrole">'Dimensionamento de Moinhos'!$K$55:$K$62</definedName>
    <definedName name="tipo_moinho">#REF!</definedName>
    <definedName name="unidcons" localSheetId="2">'Consumo e Desgaste do Moinho'!$N$10:$N$11</definedName>
    <definedName name="unidcons" localSheetId="5">'Dados'!$P$78:$P$79</definedName>
    <definedName name="unidcons">'Dimensionamento de Moinhos'!$N$10:$N$11</definedName>
  </definedNames>
  <calcPr fullCalcOnLoad="1"/>
</workbook>
</file>

<file path=xl/comments2.xml><?xml version="1.0" encoding="utf-8"?>
<comments xmlns="http://schemas.openxmlformats.org/spreadsheetml/2006/main">
  <authors>
    <author>Hatch</author>
    <author>Jo?o Biasi</author>
  </authors>
  <commentList>
    <comment ref="B13" authorId="0">
      <text>
        <r>
          <rPr>
            <b/>
            <sz val="8"/>
            <rFont val="Tahoma"/>
            <family val="0"/>
          </rPr>
          <t>DynaMine:</t>
        </r>
        <r>
          <rPr>
            <sz val="8"/>
            <rFont val="Tahoma"/>
            <family val="0"/>
          </rPr>
          <t xml:space="preserve">
Consumo de potência expressa em kWh/t curtas (st). Para obter-se o consumo de potência em Kwh/t métrica, multiplicar o valor obtido por 1,102</t>
        </r>
      </text>
    </comment>
    <comment ref="B12" authorId="0">
      <text>
        <r>
          <rPr>
            <b/>
            <sz val="8"/>
            <rFont val="Tahoma"/>
            <family val="0"/>
          </rPr>
          <t>DynaMine:</t>
        </r>
        <r>
          <rPr>
            <sz val="8"/>
            <rFont val="Tahoma"/>
            <family val="0"/>
          </rPr>
          <t xml:space="preserve">
Este valor é refererido sempre a toneladas curtas (st)
</t>
        </r>
      </text>
    </comment>
    <comment ref="D12" authorId="0">
      <text>
        <r>
          <rPr>
            <b/>
            <sz val="8"/>
            <rFont val="Tahoma"/>
            <family val="0"/>
          </rPr>
          <t>DynaMine:</t>
        </r>
        <r>
          <rPr>
            <sz val="8"/>
            <rFont val="Tahoma"/>
            <family val="0"/>
          </rPr>
          <t xml:space="preserve">
Escolher qual a unidade de referência do Wi - Toneladas Métricas (kWh/t) ou Toneladas Curtas (kWh/st)</t>
        </r>
      </text>
    </comment>
    <comment ref="B10" authorId="0">
      <text>
        <r>
          <rPr>
            <b/>
            <sz val="8"/>
            <rFont val="Tahoma"/>
            <family val="0"/>
          </rPr>
          <t>DynaMine:</t>
        </r>
        <r>
          <rPr>
            <sz val="8"/>
            <rFont val="Tahoma"/>
            <family val="0"/>
          </rPr>
          <t xml:space="preserve">
Tamanho em micra de abertura da peneira na qual "passa" 80% de alimentação do moinho</t>
        </r>
      </text>
    </comment>
    <comment ref="B11" authorId="0">
      <text>
        <r>
          <rPr>
            <b/>
            <sz val="8"/>
            <rFont val="Tahoma"/>
            <family val="0"/>
          </rPr>
          <t>DynaMine:</t>
        </r>
        <r>
          <rPr>
            <sz val="8"/>
            <rFont val="Tahoma"/>
            <family val="0"/>
          </rPr>
          <t xml:space="preserve">
Tamanho em micra da abertura da peneira na qual "passa" 80% do produto final moido</t>
        </r>
      </text>
    </comment>
    <comment ref="B23" authorId="0">
      <text>
        <r>
          <rPr>
            <b/>
            <sz val="8"/>
            <rFont val="Tahoma"/>
            <family val="0"/>
          </rPr>
          <t>DynaMine:</t>
        </r>
        <r>
          <rPr>
            <sz val="8"/>
            <rFont val="Tahoma"/>
            <family val="0"/>
          </rPr>
          <t xml:space="preserve">
Fator de ineficiência por moagem via seca</t>
        </r>
      </text>
    </comment>
    <comment ref="B26" authorId="0">
      <text>
        <r>
          <rPr>
            <b/>
            <sz val="8"/>
            <rFont val="Tahoma"/>
            <family val="0"/>
          </rPr>
          <t>DynaMine:</t>
        </r>
        <r>
          <rPr>
            <sz val="8"/>
            <rFont val="Tahoma"/>
            <family val="0"/>
          </rPr>
          <t xml:space="preserve">
O fator EF2 é aplicado para compensar as diversas quantidades de "oversize" permitidas no produto final</t>
        </r>
      </text>
    </comment>
    <comment ref="B42" authorId="0">
      <text>
        <r>
          <rPr>
            <b/>
            <sz val="8"/>
            <rFont val="Tahoma"/>
            <family val="0"/>
          </rPr>
          <t>DynaMine:</t>
        </r>
        <r>
          <rPr>
            <sz val="8"/>
            <rFont val="Tahoma"/>
            <family val="0"/>
          </rPr>
          <t xml:space="preserve">
O tamanho máximo ótimo de alimentação é também função do Wi do minério. O tamanho máximo ótimo de alimentação corresponde a 80% passante. 
Dado por :
Para Moinhos de Barras
Fo=(√13/Wi).16000
Para Moinhos de Bolas
Fo=(√13/Wi).4000</t>
        </r>
      </text>
    </comment>
    <comment ref="B41" authorId="0">
      <text>
        <r>
          <rPr>
            <b/>
            <sz val="8"/>
            <rFont val="Tahoma"/>
            <family val="0"/>
          </rPr>
          <t>DynaMine:</t>
        </r>
        <r>
          <rPr>
            <sz val="8"/>
            <rFont val="Tahoma"/>
            <family val="0"/>
          </rPr>
          <t xml:space="preserve">
Relação de Redução
F80/P80</t>
        </r>
      </text>
    </comment>
    <comment ref="B38" authorId="0">
      <text>
        <r>
          <rPr>
            <b/>
            <sz val="8"/>
            <rFont val="Tahoma"/>
            <family val="0"/>
          </rPr>
          <t>DynaMine:</t>
        </r>
        <r>
          <rPr>
            <sz val="8"/>
            <rFont val="Tahoma"/>
            <family val="0"/>
          </rPr>
          <t xml:space="preserve">
EF3 = (8/D)^0,2 (D em pés)
EF3 = (2,44/D)^0,2 (D em metros)
Se D&gt;12 1/2' então EF3=0,914 (Prof. Homero Delboni Jr.)</t>
        </r>
      </text>
    </comment>
    <comment ref="B43" authorId="0">
      <text>
        <r>
          <rPr>
            <b/>
            <sz val="8"/>
            <rFont val="Tahoma"/>
            <family val="0"/>
          </rPr>
          <t>DynaMine:</t>
        </r>
        <r>
          <rPr>
            <sz val="8"/>
            <rFont val="Tahoma"/>
            <family val="0"/>
          </rPr>
          <t xml:space="preserve">
EF4= </t>
        </r>
        <r>
          <rPr>
            <u val="single"/>
            <sz val="8"/>
            <rFont val="Tahoma"/>
            <family val="2"/>
          </rPr>
          <t xml:space="preserve">Rr-(Wi-7)(F-Fo)/Fo
</t>
        </r>
        <r>
          <rPr>
            <sz val="8"/>
            <rFont val="Tahoma"/>
            <family val="2"/>
          </rPr>
          <t xml:space="preserve">                       Rr
Se F&lt;Fo, EF4 não se aplica (Prof. Homero Delboni)
</t>
        </r>
      </text>
    </comment>
    <comment ref="B45" authorId="0">
      <text>
        <r>
          <rPr>
            <b/>
            <sz val="8"/>
            <rFont val="Tahoma"/>
            <family val="0"/>
          </rPr>
          <t>DynaMine:</t>
        </r>
        <r>
          <rPr>
            <sz val="8"/>
            <rFont val="Tahoma"/>
            <family val="0"/>
          </rPr>
          <t xml:space="preserve">
EF5 = </t>
        </r>
        <r>
          <rPr>
            <u val="single"/>
            <sz val="8"/>
            <rFont val="Tahoma"/>
            <family val="2"/>
          </rPr>
          <t xml:space="preserve">P + 10,3
</t>
        </r>
        <r>
          <rPr>
            <sz val="8"/>
            <rFont val="Tahoma"/>
            <family val="2"/>
          </rPr>
          <t xml:space="preserve">           1,145.P</t>
        </r>
      </text>
    </comment>
    <comment ref="B47" authorId="0">
      <text>
        <r>
          <rPr>
            <b/>
            <sz val="8"/>
            <rFont val="Tahoma"/>
            <family val="0"/>
          </rPr>
          <t>DynaMine:</t>
        </r>
        <r>
          <rPr>
            <sz val="8"/>
            <rFont val="Tahoma"/>
            <family val="0"/>
          </rPr>
          <t xml:space="preserve">
EF6 = 1+</t>
        </r>
        <r>
          <rPr>
            <u val="single"/>
            <sz val="8"/>
            <rFont val="Tahoma"/>
            <family val="2"/>
          </rPr>
          <t xml:space="preserve">(Rr-Rro)²
</t>
        </r>
        <r>
          <rPr>
            <sz val="8"/>
            <rFont val="Tahoma"/>
            <family val="2"/>
          </rPr>
          <t xml:space="preserve">                   150
Rr = Relação de Redução = F80/P80
Rro = Taxa de Redução Ótima = 8 + </t>
        </r>
        <r>
          <rPr>
            <u val="single"/>
            <sz val="8"/>
            <rFont val="Tahoma"/>
            <family val="2"/>
          </rPr>
          <t xml:space="preserve">5L
</t>
        </r>
        <r>
          <rPr>
            <sz val="8"/>
            <rFont val="Tahoma"/>
            <family val="2"/>
          </rPr>
          <t xml:space="preserve">                                                             D
L = Comprimento das Barras em PÉS
D = Diâmetro do moinho em PËS, medido internamente ao revestimento
Se Rro-2&lt;Rr&lt;Rro+2, EF6 não se aplica
Se WI&lt;7,0 e Rr&gt;=Rro+2 ou Rr&lt;=Rro-2, EF6 = 1,2</t>
        </r>
      </text>
    </comment>
    <comment ref="B49" authorId="0">
      <text>
        <r>
          <rPr>
            <b/>
            <sz val="8"/>
            <rFont val="Tahoma"/>
            <family val="0"/>
          </rPr>
          <t>DynaMine:</t>
        </r>
        <r>
          <rPr>
            <sz val="8"/>
            <rFont val="Tahoma"/>
            <family val="0"/>
          </rPr>
          <t xml:space="preserve">
EF7 = </t>
        </r>
        <r>
          <rPr>
            <u val="single"/>
            <sz val="8"/>
            <rFont val="Tahoma"/>
            <family val="2"/>
          </rPr>
          <t xml:space="preserve">Rr - 1,22
</t>
        </r>
        <r>
          <rPr>
            <sz val="8"/>
            <rFont val="Tahoma"/>
            <family val="2"/>
          </rPr>
          <t xml:space="preserve">           Rr - 1,35
Só se deve aplicar esta fórmula quando a taxa de redução no moinho de bola for menos que 6:1</t>
        </r>
      </text>
    </comment>
    <comment ref="B57" authorId="0">
      <text>
        <r>
          <rPr>
            <b/>
            <sz val="8"/>
            <rFont val="Tahoma"/>
            <family val="0"/>
          </rPr>
          <t>DynaMine:</t>
        </r>
        <r>
          <rPr>
            <sz val="8"/>
            <rFont val="Tahoma"/>
            <family val="0"/>
          </rPr>
          <t xml:space="preserve">
A velocidade critica num moinho é a velocidade de rotação que provoca aderência de qualquer partícula pequena as placas de revestimento, motivada pela força centrífuga
Cs = 76,63/√D (D em pés)
onde :
D = diâmetro interno do moinho medido internamente ao revestimento
Cs = velocidade crítica em rpm
Para determinar a velocidade do moinho em porcentagem da velociade crítica, teremos :
%Cs = 1,305 x Cs x √D (D em pés)</t>
        </r>
      </text>
    </comment>
    <comment ref="B58" authorId="0">
      <text>
        <r>
          <rPr>
            <b/>
            <sz val="8"/>
            <rFont val="Tahoma"/>
            <family val="0"/>
          </rPr>
          <t>DynaMine:</t>
        </r>
        <r>
          <rPr>
            <sz val="8"/>
            <rFont val="Tahoma"/>
            <family val="0"/>
          </rPr>
          <t xml:space="preserve">
Para determinar a velocidade do moinho em porcentagem da velociade crítica, teremos :
%Cs = 1,305 x Cs x √D (D em pés)</t>
        </r>
      </text>
    </comment>
    <comment ref="B68" authorId="0">
      <text>
        <r>
          <rPr>
            <b/>
            <sz val="8"/>
            <rFont val="Tahoma"/>
            <family val="0"/>
          </rPr>
          <t>DynaMine:</t>
        </r>
        <r>
          <rPr>
            <sz val="8"/>
            <rFont val="Tahoma"/>
            <family val="0"/>
          </rPr>
          <t xml:space="preserve">
Tipo de
DESCARGA / MOAGEM (VIA) / CIRCUITO</t>
        </r>
      </text>
    </comment>
    <comment ref="B62" authorId="0">
      <text>
        <r>
          <rPr>
            <b/>
            <sz val="8"/>
            <rFont val="Tahoma"/>
            <family val="0"/>
          </rPr>
          <t>DynaMine:</t>
        </r>
        <r>
          <rPr>
            <sz val="8"/>
            <rFont val="Tahoma"/>
            <family val="0"/>
          </rPr>
          <t xml:space="preserve">
Comprimento da Barra = Comprimento do Moinho-(4 a 6")</t>
        </r>
      </text>
    </comment>
    <comment ref="C17" authorId="1">
      <text>
        <r>
          <rPr>
            <b/>
            <sz val="8"/>
            <rFont val="Tahoma"/>
            <family val="0"/>
          </rPr>
          <t xml:space="preserve">DynaMine: 
</t>
        </r>
        <r>
          <rPr>
            <sz val="10"/>
            <rFont val="Tahoma"/>
            <family val="2"/>
          </rPr>
          <t>Não utilizar valor de enchimento maior do que 45%.</t>
        </r>
      </text>
    </comment>
    <comment ref="C34" authorId="0">
      <text>
        <r>
          <rPr>
            <b/>
            <sz val="8"/>
            <rFont val="Tahoma"/>
            <family val="0"/>
          </rPr>
          <t>DynaMine:</t>
        </r>
        <r>
          <rPr>
            <sz val="8"/>
            <rFont val="Tahoma"/>
            <family val="0"/>
          </rPr>
          <t xml:space="preserve">
Bolas: 1 a 2
Barras: 1,4 a 1,6 (sempre &gt; 1,25)</t>
        </r>
      </text>
    </comment>
  </commentList>
</comments>
</file>

<file path=xl/comments7.xml><?xml version="1.0" encoding="utf-8"?>
<comments xmlns="http://schemas.openxmlformats.org/spreadsheetml/2006/main">
  <authors>
    <author>Jo?o Biasi</author>
  </authors>
  <commentList>
    <comment ref="A24" authorId="0">
      <text>
        <r>
          <rPr>
            <sz val="8"/>
            <rFont val="Tahoma"/>
            <family val="2"/>
          </rPr>
          <t>Raio do Ø Interno ao Revestimento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Área total com relação ao Ø interno ao revestimento</t>
        </r>
      </text>
    </comment>
    <comment ref="A26" authorId="0">
      <text>
        <r>
          <rPr>
            <sz val="8"/>
            <rFont val="Tahoma"/>
            <family val="0"/>
          </rPr>
          <t xml:space="preserve">Área de referencia adotado em relação a 40% de enchimento
</t>
        </r>
      </text>
    </comment>
    <comment ref="A27" authorId="0">
      <text>
        <r>
          <rPr>
            <sz val="8"/>
            <rFont val="Tahoma"/>
            <family val="0"/>
          </rPr>
          <t>Área do setor circular :
A=R²/2 (</t>
        </r>
        <r>
          <rPr>
            <sz val="8"/>
            <rFont val="Symbol"/>
            <family val="1"/>
          </rPr>
          <t xml:space="preserve">f - </t>
        </r>
        <r>
          <rPr>
            <sz val="8"/>
            <rFont val="Arial"/>
            <family val="2"/>
          </rPr>
          <t>sen</t>
        </r>
        <r>
          <rPr>
            <sz val="8"/>
            <rFont val="Symbol"/>
            <family val="1"/>
          </rPr>
          <t xml:space="preserve"> f)</t>
        </r>
      </text>
    </comment>
  </commentList>
</comments>
</file>

<file path=xl/sharedStrings.xml><?xml version="1.0" encoding="utf-8"?>
<sst xmlns="http://schemas.openxmlformats.org/spreadsheetml/2006/main" count="378" uniqueCount="219">
  <si>
    <t>t/h</t>
  </si>
  <si>
    <t>Alimentação projeto</t>
  </si>
  <si>
    <t>m</t>
  </si>
  <si>
    <t>kWh/st</t>
  </si>
  <si>
    <t>Tipos de moinho</t>
  </si>
  <si>
    <t>circuito</t>
  </si>
  <si>
    <t>via</t>
  </si>
  <si>
    <t>HP</t>
  </si>
  <si>
    <t>pés</t>
  </si>
  <si>
    <t>Fator de correção via seca</t>
  </si>
  <si>
    <t>Fator circuito aberto moinho de bolas</t>
  </si>
  <si>
    <t>Fator de alimentação com tamanho excessivo</t>
  </si>
  <si>
    <t>Fator de finura</t>
  </si>
  <si>
    <t>Comprimento das barras</t>
  </si>
  <si>
    <t>provem</t>
  </si>
  <si>
    <t>com moinho de bolas</t>
  </si>
  <si>
    <t>rpm</t>
  </si>
  <si>
    <t>Diâmetro interno nominal</t>
  </si>
  <si>
    <t>Comprimento nominal</t>
  </si>
  <si>
    <t>Densidade aparente da carga de barras</t>
  </si>
  <si>
    <t>Peso da carga de barras</t>
  </si>
  <si>
    <t xml:space="preserve">Potência do moinho ( hp ) </t>
  </si>
  <si>
    <t>diametro interior ao revestimento</t>
  </si>
  <si>
    <t>metros</t>
  </si>
  <si>
    <t>pes</t>
  </si>
  <si>
    <t>kg/m³</t>
  </si>
  <si>
    <t>pol</t>
  </si>
  <si>
    <t>volume</t>
  </si>
  <si>
    <t>descarga</t>
  </si>
  <si>
    <t>Diafragma</t>
  </si>
  <si>
    <t>Overflow</t>
  </si>
  <si>
    <t>L/D</t>
  </si>
  <si>
    <t>Peso da carga 
de barras</t>
  </si>
  <si>
    <t>Diâmetro interior ao 
revestimento</t>
  </si>
  <si>
    <t>Tamanho 
das bolas</t>
  </si>
  <si>
    <t>Diâmetro interno 
nominal</t>
  </si>
  <si>
    <t>Comprimento 
nominal</t>
  </si>
  <si>
    <t>Potência do moinho 
( hp ) 
overflow</t>
  </si>
  <si>
    <t xml:space="preserve">Potência do moinho 
( hp ) 
diafragma </t>
  </si>
  <si>
    <t>An =</t>
  </si>
  <si>
    <t>Alimentação Nominal</t>
  </si>
  <si>
    <t>Fator de Projeto =</t>
  </si>
  <si>
    <t>-</t>
  </si>
  <si>
    <t>unidades</t>
  </si>
  <si>
    <t>Ap =</t>
  </si>
  <si>
    <r>
      <t>P</t>
    </r>
    <r>
      <rPr>
        <sz val="8"/>
        <rFont val="Arial"/>
        <family val="2"/>
      </rPr>
      <t xml:space="preserve">80 </t>
    </r>
    <r>
      <rPr>
        <sz val="10"/>
        <rFont val="Arial"/>
        <family val="2"/>
      </rPr>
      <t>=</t>
    </r>
  </si>
  <si>
    <r>
      <t>F</t>
    </r>
    <r>
      <rPr>
        <sz val="8"/>
        <rFont val="Arial"/>
        <family val="2"/>
      </rPr>
      <t>80</t>
    </r>
    <r>
      <rPr>
        <sz val="10"/>
        <rFont val="Arial"/>
        <family val="2"/>
      </rPr>
      <t xml:space="preserve"> =</t>
    </r>
  </si>
  <si>
    <t>Bolas</t>
  </si>
  <si>
    <t>Barras</t>
  </si>
  <si>
    <t>Aberto</t>
  </si>
  <si>
    <t>Fechado</t>
  </si>
  <si>
    <t>Circuito Aberto Britagem</t>
  </si>
  <si>
    <t>Circuito Fechado Britagem</t>
  </si>
  <si>
    <t>Wi =</t>
  </si>
  <si>
    <t>Tipo de Moinho =</t>
  </si>
  <si>
    <t>Tipo de Circuito =</t>
  </si>
  <si>
    <t>Tipo de Moagem =</t>
  </si>
  <si>
    <t>Úmida</t>
  </si>
  <si>
    <t>Seca</t>
  </si>
  <si>
    <t>Work Index</t>
  </si>
  <si>
    <t>% Volume de Carga =</t>
  </si>
  <si>
    <t>W =</t>
  </si>
  <si>
    <t>Consumo de Potência</t>
  </si>
  <si>
    <t>Consumo de Potência :</t>
  </si>
  <si>
    <t>Fatores de Correção:</t>
  </si>
  <si>
    <r>
      <t>EF</t>
    </r>
    <r>
      <rPr>
        <sz val="8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</si>
  <si>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EF</t>
    </r>
    <r>
      <rPr>
        <sz val="8"/>
        <rFont val="Arial"/>
        <family val="2"/>
      </rPr>
      <t>2</t>
    </r>
    <r>
      <rPr>
        <sz val="10"/>
        <rFont val="Arial"/>
        <family val="2"/>
      </rPr>
      <t xml:space="preserve"> =</t>
    </r>
  </si>
  <si>
    <t>Se circuito de moagem aberto, utilizar referência de controle (% do produto menor que o nominal) :</t>
  </si>
  <si>
    <r>
      <t>Multiplicador EF</t>
    </r>
    <r>
      <rPr>
        <sz val="8"/>
        <rFont val="Arial"/>
        <family val="2"/>
      </rPr>
      <t>2</t>
    </r>
  </si>
  <si>
    <r>
      <t>EF</t>
    </r>
    <r>
      <rPr>
        <sz val="8"/>
        <rFont val="Arial"/>
        <family val="2"/>
      </rPr>
      <t>3</t>
    </r>
    <r>
      <rPr>
        <sz val="10"/>
        <rFont val="Arial"/>
        <family val="2"/>
      </rPr>
      <t xml:space="preserve"> =</t>
    </r>
  </si>
  <si>
    <t>Diâmetro Interno ao Revestimento</t>
  </si>
  <si>
    <t>Comprimento do Moinho</t>
  </si>
  <si>
    <r>
      <t>EF</t>
    </r>
    <r>
      <rPr>
        <sz val="8"/>
        <rFont val="Arial"/>
        <family val="2"/>
      </rPr>
      <t>4</t>
    </r>
    <r>
      <rPr>
        <sz val="10"/>
        <rFont val="Arial"/>
        <family val="2"/>
      </rPr>
      <t xml:space="preserve"> =</t>
    </r>
  </si>
  <si>
    <t>Relação de Redução</t>
  </si>
  <si>
    <t>Rr =</t>
  </si>
  <si>
    <r>
      <t>F</t>
    </r>
    <r>
      <rPr>
        <sz val="8"/>
        <rFont val="Arial"/>
        <family val="2"/>
      </rPr>
      <t>0</t>
    </r>
    <r>
      <rPr>
        <sz val="10"/>
        <rFont val="Arial"/>
        <family val="0"/>
      </rPr>
      <t xml:space="preserve"> = </t>
    </r>
  </si>
  <si>
    <r>
      <t>EF</t>
    </r>
    <r>
      <rPr>
        <sz val="8"/>
        <rFont val="Arial"/>
        <family val="2"/>
      </rPr>
      <t>5</t>
    </r>
    <r>
      <rPr>
        <sz val="10"/>
        <rFont val="Arial"/>
        <family val="2"/>
      </rPr>
      <t xml:space="preserve"> =</t>
    </r>
  </si>
  <si>
    <r>
      <t>EF</t>
    </r>
    <r>
      <rPr>
        <sz val="8"/>
        <rFont val="Arial"/>
        <family val="2"/>
      </rPr>
      <t>6</t>
    </r>
    <r>
      <rPr>
        <sz val="10"/>
        <rFont val="Arial"/>
        <family val="2"/>
      </rPr>
      <t xml:space="preserve"> =</t>
    </r>
  </si>
  <si>
    <r>
      <t>EF</t>
    </r>
    <r>
      <rPr>
        <sz val="8"/>
        <rFont val="Arial"/>
        <family val="2"/>
      </rPr>
      <t>7</t>
    </r>
    <r>
      <rPr>
        <sz val="10"/>
        <rFont val="Arial"/>
        <family val="2"/>
      </rPr>
      <t xml:space="preserve"> =</t>
    </r>
  </si>
  <si>
    <r>
      <t>EF</t>
    </r>
    <r>
      <rPr>
        <sz val="8"/>
        <rFont val="Arial"/>
        <family val="2"/>
      </rPr>
      <t>8</t>
    </r>
    <r>
      <rPr>
        <sz val="10"/>
        <rFont val="Arial"/>
        <family val="2"/>
      </rPr>
      <t xml:space="preserve"> =</t>
    </r>
  </si>
  <si>
    <r>
      <t xml:space="preserve">Fator taxa de redução - </t>
    </r>
    <r>
      <rPr>
        <b/>
        <i/>
        <sz val="10"/>
        <rFont val="Arial"/>
        <family val="2"/>
      </rPr>
      <t>BOLAS</t>
    </r>
  </si>
  <si>
    <r>
      <t xml:space="preserve">Fator taxa de redução - </t>
    </r>
    <r>
      <rPr>
        <b/>
        <i/>
        <sz val="10"/>
        <rFont val="Arial"/>
        <family val="2"/>
      </rPr>
      <t>BARRAS</t>
    </r>
  </si>
  <si>
    <t>Tamanho máximo ótimo da alimentação</t>
  </si>
  <si>
    <t>Cs =</t>
  </si>
  <si>
    <t>Potência Necessária na Moagem :</t>
  </si>
  <si>
    <t>Sim</t>
  </si>
  <si>
    <t>Não</t>
  </si>
  <si>
    <t>Alimentação</t>
  </si>
  <si>
    <t>Existência de moinho de bolas posterior</t>
  </si>
  <si>
    <t>Tipo de descarga</t>
  </si>
  <si>
    <t>N.° de Moinhos Estimados=</t>
  </si>
  <si>
    <t>Cálculo do tamanho dos corpos moedores  :</t>
  </si>
  <si>
    <t>polegadas</t>
  </si>
  <si>
    <t>Sg =</t>
  </si>
  <si>
    <t>Peso especifíco do material a moer</t>
  </si>
  <si>
    <t>t/m³</t>
  </si>
  <si>
    <t>fCs =</t>
  </si>
  <si>
    <t>Porcentagem da Velocidade Crítica</t>
  </si>
  <si>
    <t>D =</t>
  </si>
  <si>
    <t>Fator K=</t>
  </si>
  <si>
    <t>mm</t>
  </si>
  <si>
    <t>Conclusão :</t>
  </si>
  <si>
    <t>Diâmetro =</t>
  </si>
  <si>
    <t>Comprimento =</t>
  </si>
  <si>
    <t>Potência =</t>
  </si>
  <si>
    <t>Unidade de Consumo</t>
  </si>
  <si>
    <t>kWh/t</t>
  </si>
  <si>
    <t>Referência de Controle 
(% do produto menor que o nominal) :</t>
  </si>
  <si>
    <t>Fator de Diâmetro</t>
  </si>
  <si>
    <r>
      <t>Características do moinho, para cálculo EF</t>
    </r>
    <r>
      <rPr>
        <sz val="8"/>
        <rFont val="Arial"/>
        <family val="2"/>
      </rPr>
      <t>3</t>
    </r>
    <r>
      <rPr>
        <sz val="10"/>
        <rFont val="Arial"/>
        <family val="2"/>
      </rPr>
      <t xml:space="preserve"> :</t>
    </r>
  </si>
  <si>
    <r>
      <t>Características do Minério, para cálculo EF</t>
    </r>
    <r>
      <rPr>
        <sz val="8"/>
        <rFont val="Arial"/>
        <family val="2"/>
      </rPr>
      <t>4</t>
    </r>
    <r>
      <rPr>
        <sz val="10"/>
        <rFont val="Arial"/>
        <family val="2"/>
      </rPr>
      <t xml:space="preserve"> :</t>
    </r>
  </si>
  <si>
    <t>Eficiência moinho de barras</t>
  </si>
  <si>
    <t>Velocidade Crítica :</t>
  </si>
  <si>
    <t>%Cs =</t>
  </si>
  <si>
    <t>%</t>
  </si>
  <si>
    <t>Velocidade Crítica do Moinho</t>
  </si>
  <si>
    <t>% Velocidade Crítica na Rotação</t>
  </si>
  <si>
    <t>Cs ótimo =</t>
  </si>
  <si>
    <t>Velocidade Ótima de Rotação</t>
  </si>
  <si>
    <t>Circuito</t>
  </si>
  <si>
    <t>Tipo de moinho e circuito</t>
  </si>
  <si>
    <t>Valor K para bolas de aço ou fofo</t>
  </si>
  <si>
    <t>Overflow / Úmida / Aberto</t>
  </si>
  <si>
    <t>Overflow / Úmida / Fechado</t>
  </si>
  <si>
    <t>Diafragma / Úmida / Aberto</t>
  </si>
  <si>
    <t>Diafragma / Úmida / Fechado</t>
  </si>
  <si>
    <t>Diafragma / Seca / Aberto</t>
  </si>
  <si>
    <t>Diafragma / Seca / Fechado</t>
  </si>
  <si>
    <t>Descarga / Moagem (via) / Circuito</t>
  </si>
  <si>
    <t>Corpos de Bola</t>
  </si>
  <si>
    <t>Corpos de Barras</t>
  </si>
  <si>
    <t>Tipo de Descarga Moinho =</t>
  </si>
  <si>
    <t>Potência Efetiva</t>
  </si>
  <si>
    <t>N/A</t>
  </si>
  <si>
    <t>Especificações para Moinho de Barras</t>
  </si>
  <si>
    <t>W total =</t>
  </si>
  <si>
    <r>
      <t xml:space="preserve">DIMENSIONAMENTO DE EQUIPAMENTO DE PROCESSO
</t>
    </r>
    <r>
      <rPr>
        <b/>
        <sz val="10"/>
        <rFont val="Arial"/>
        <family val="2"/>
      </rPr>
      <t>MOINHO DE BOLAS</t>
    </r>
  </si>
  <si>
    <t>R:</t>
  </si>
  <si>
    <t>m2</t>
  </si>
  <si>
    <t>Área tot:</t>
  </si>
  <si>
    <t>Área ref:</t>
  </si>
  <si>
    <t>&gt;1,93</t>
  </si>
  <si>
    <t>&lt;1,93</t>
  </si>
  <si>
    <t>Área ef:</t>
  </si>
  <si>
    <r>
      <t>f</t>
    </r>
    <r>
      <rPr>
        <sz val="10"/>
        <rFont val="Arial"/>
        <family val="0"/>
      </rPr>
      <t xml:space="preserve"> ref:</t>
    </r>
  </si>
  <si>
    <t>rad</t>
  </si>
  <si>
    <t>Yc ref:</t>
  </si>
  <si>
    <r>
      <t>f</t>
    </r>
    <r>
      <rPr>
        <sz val="10"/>
        <rFont val="Arial"/>
        <family val="0"/>
      </rPr>
      <t xml:space="preserve"> ef:</t>
    </r>
  </si>
  <si>
    <t>Yc ef:</t>
  </si>
  <si>
    <t>Kpot:</t>
  </si>
  <si>
    <r>
      <t>(</t>
    </r>
    <r>
      <rPr>
        <sz val="10"/>
        <rFont val="Symbol"/>
        <family val="1"/>
      </rPr>
      <t>f</t>
    </r>
    <r>
      <rPr>
        <sz val="10"/>
        <rFont val="Arial"/>
        <family val="0"/>
      </rPr>
      <t>-sin</t>
    </r>
    <r>
      <rPr>
        <sz val="10"/>
        <rFont val="Symbol"/>
        <family val="1"/>
      </rPr>
      <t>f</t>
    </r>
    <r>
      <rPr>
        <sz val="10"/>
        <rFont val="Arial"/>
        <family val="0"/>
      </rPr>
      <t>)ref:</t>
    </r>
  </si>
  <si>
    <r>
      <t>(</t>
    </r>
    <r>
      <rPr>
        <sz val="10"/>
        <rFont val="Symbol"/>
        <family val="1"/>
      </rPr>
      <t>f</t>
    </r>
    <r>
      <rPr>
        <sz val="10"/>
        <rFont val="Arial"/>
        <family val="0"/>
      </rPr>
      <t>-sin</t>
    </r>
    <r>
      <rPr>
        <sz val="10"/>
        <rFont val="Symbol"/>
        <family val="1"/>
      </rPr>
      <t>f</t>
    </r>
    <r>
      <rPr>
        <sz val="10"/>
        <rFont val="Arial"/>
        <family val="0"/>
      </rPr>
      <t>)ef:</t>
    </r>
  </si>
  <si>
    <t>Ø Nominal do Moinho =</t>
  </si>
  <si>
    <t>Ø Interno ao Revest. (D) =</t>
  </si>
  <si>
    <t>Velocidade Crítica (Cs) =</t>
  </si>
  <si>
    <t>% Cs =</t>
  </si>
  <si>
    <t>Rotação Nominal =</t>
  </si>
  <si>
    <t xml:space="preserve">% Volume de Carga Ref = </t>
  </si>
  <si>
    <t>Potência Referência =</t>
  </si>
  <si>
    <t xml:space="preserve">% Volume de Carga Ef = </t>
  </si>
  <si>
    <t>Potência Efetiva =</t>
  </si>
  <si>
    <t>Potência do Moinho ( hp ) 
Overflow - METSO</t>
  </si>
  <si>
    <t>Potência do Moinho ( hp ) 
Overflow - HATCH</t>
  </si>
  <si>
    <t>Potência do Moinho ( hp ) 
Diafragma - METSO</t>
  </si>
  <si>
    <t>Potência do Moinho ( hp ) 
Diafragma - HATCH</t>
  </si>
  <si>
    <t>Média :</t>
  </si>
  <si>
    <t>Vlookup Overflow</t>
  </si>
  <si>
    <t>Vlookup Diafragma</t>
  </si>
  <si>
    <t>Indice de Correção</t>
  </si>
  <si>
    <t>Vlookup Completo</t>
  </si>
  <si>
    <t>Fórmula Final</t>
  </si>
  <si>
    <t>Diâmetro Nominal</t>
  </si>
  <si>
    <t>Validação da planilha "Baixo Enchimento"</t>
  </si>
  <si>
    <t>DN (pés)</t>
  </si>
  <si>
    <t>Aref *Ycref:</t>
  </si>
  <si>
    <t>Aef * Ycef:</t>
  </si>
  <si>
    <t xml:space="preserve">Centróide Setor Circular </t>
  </si>
  <si>
    <r>
      <t xml:space="preserve">Yc = </t>
    </r>
    <r>
      <rPr>
        <u val="single"/>
        <sz val="10"/>
        <rFont val="Arial"/>
        <family val="0"/>
      </rPr>
      <t>4R sen³ (</t>
    </r>
    <r>
      <rPr>
        <u val="single"/>
        <sz val="10"/>
        <rFont val="Symbol"/>
        <family val="1"/>
      </rPr>
      <t>f</t>
    </r>
    <r>
      <rPr>
        <u val="single"/>
        <sz val="10"/>
        <rFont val="Arial"/>
        <family val="0"/>
      </rPr>
      <t xml:space="preserve">/2)
</t>
    </r>
    <r>
      <rPr>
        <sz val="10"/>
        <rFont val="Arial"/>
        <family val="2"/>
      </rPr>
      <t xml:space="preserve">         3(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- sen </t>
    </r>
    <r>
      <rPr>
        <sz val="10"/>
        <rFont val="Symbol"/>
        <family val="1"/>
      </rPr>
      <t>f</t>
    </r>
    <r>
      <rPr>
        <sz val="10"/>
        <rFont val="Arial"/>
        <family val="2"/>
      </rPr>
      <t>)</t>
    </r>
  </si>
  <si>
    <t>Bibliografia :</t>
  </si>
  <si>
    <t>http://www.mspc.eng.br/matr/secplan112.shtml</t>
  </si>
  <si>
    <t>http://pt.wikipedia.org/wiki/Segmento_circular</t>
  </si>
  <si>
    <t>Área Segmento Circular</t>
  </si>
  <si>
    <r>
      <t xml:space="preserve">A = </t>
    </r>
    <r>
      <rPr>
        <u val="single"/>
        <sz val="10"/>
        <rFont val="Arial"/>
        <family val="0"/>
      </rPr>
      <t>R²</t>
    </r>
    <r>
      <rPr>
        <sz val="10"/>
        <rFont val="Arial"/>
        <family val="2"/>
      </rPr>
      <t xml:space="preserve"> . </t>
    </r>
    <r>
      <rPr>
        <sz val="10"/>
        <rFont val="Arial"/>
        <family val="0"/>
      </rPr>
      <t>(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- sen </t>
    </r>
    <r>
      <rPr>
        <sz val="10"/>
        <rFont val="Symbol"/>
        <family val="1"/>
      </rPr>
      <t>f</t>
    </r>
    <r>
      <rPr>
        <sz val="10"/>
        <rFont val="Arial"/>
        <family val="0"/>
      </rPr>
      <t>)</t>
    </r>
    <r>
      <rPr>
        <u val="single"/>
        <sz val="10"/>
        <rFont val="Arial"/>
        <family val="0"/>
      </rPr>
      <t xml:space="preserve">
</t>
    </r>
    <r>
      <rPr>
        <sz val="10"/>
        <rFont val="Arial"/>
        <family val="2"/>
      </rPr>
      <t xml:space="preserve">       2</t>
    </r>
  </si>
  <si>
    <t>micrômetro</t>
  </si>
  <si>
    <t>kW</t>
  </si>
  <si>
    <t>Potência Necessaria sem correção</t>
  </si>
  <si>
    <t>Consumo de</t>
  </si>
  <si>
    <t>Abrasion Index do material a ser moido:</t>
  </si>
  <si>
    <t>Potência consumida:</t>
  </si>
  <si>
    <t>Rro</t>
  </si>
  <si>
    <t>Rro-Rr</t>
  </si>
  <si>
    <t>Wi&lt;7</t>
  </si>
  <si>
    <t>Horas anuais:</t>
  </si>
  <si>
    <t>horas</t>
  </si>
  <si>
    <t>kWh/ano</t>
  </si>
  <si>
    <t>t/ano</t>
  </si>
  <si>
    <t>Consumo de revestimento:</t>
  </si>
  <si>
    <t xml:space="preserve">Consumo de </t>
  </si>
  <si>
    <t>revestimento:</t>
  </si>
  <si>
    <t>Horas anuais trabalhadas:</t>
  </si>
  <si>
    <t>Modo de usar a planilha.</t>
  </si>
  <si>
    <t>cinza</t>
  </si>
  <si>
    <t>da aba</t>
  </si>
  <si>
    <t>Dimensionamento de Moinhos</t>
  </si>
  <si>
    <t>Se sim, é necessario ter o Abrasion Index do material a ser moido e horas trabalhadas pelo moinho.</t>
  </si>
  <si>
    <t>Deseja-se calcular? :</t>
  </si>
  <si>
    <t>Em seguida deve-se preencher todas as celulas em</t>
  </si>
  <si>
    <t xml:space="preserve">Deseja-se consumo: </t>
  </si>
  <si>
    <t xml:space="preserve">Primeiramente, deseja-se obter os dados de consumo de barras/bolas e revestimento do moinho? </t>
  </si>
  <si>
    <t>L =</t>
  </si>
  <si>
    <t>Dint =</t>
  </si>
  <si>
    <t>Comprimento das barras em pés</t>
  </si>
  <si>
    <t xml:space="preserve">Atenção ao se trabalhar com moiho de barras, pois o comprimento das barras situada na parte inferior da planilha </t>
  </si>
  <si>
    <t>tem influencia no EF6.</t>
  </si>
  <si>
    <t>Se não, a parte de desgaste ficará oculta na tabela.</t>
  </si>
  <si>
    <t xml:space="preserve">Esta planilha tem função didática apenas e não deve ser usada comercialmente. </t>
  </si>
  <si>
    <t xml:space="preserve">Para informações sobre dimensionamento de equipamentos, contate: </t>
  </si>
  <si>
    <t>engenharia@dynamine.com.br</t>
  </si>
  <si>
    <t>www.dynamine.com.br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</si>
</sst>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"/>
    <numFmt numFmtId="179" formatCode="0.000"/>
    <numFmt numFmtId="180" formatCode="0.0%"/>
    <numFmt numFmtId="181" formatCode="[$-416]dddd\,\ d&quot; de &quot;mmmm&quot; de &quot;yyy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000000"/>
    <numFmt numFmtId="188" formatCode="0.0000000000"/>
    <numFmt numFmtId="189" formatCode="d/mmmm/yy"/>
    <numFmt numFmtId="190" formatCode="00"/>
  </numFmts>
  <fonts count="7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8"/>
      <name val="Tahoma"/>
      <family val="2"/>
    </font>
    <font>
      <sz val="10"/>
      <name val="Symbol"/>
      <family val="1"/>
    </font>
    <font>
      <sz val="10"/>
      <name val="Tahoma"/>
      <family val="2"/>
    </font>
    <font>
      <sz val="14"/>
      <name val="Arial"/>
      <family val="0"/>
    </font>
    <font>
      <sz val="8"/>
      <name val="Symbol"/>
      <family val="1"/>
    </font>
    <font>
      <u val="single"/>
      <sz val="10"/>
      <name val="Arial"/>
      <family val="0"/>
    </font>
    <font>
      <u val="single"/>
      <sz val="10"/>
      <name val="Symbol"/>
      <family val="1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2.5"/>
      <color indexed="8"/>
      <name val="Arial"/>
      <family val="0"/>
    </font>
    <font>
      <sz val="9.2"/>
      <color indexed="8"/>
      <name val="Arial"/>
      <family val="0"/>
    </font>
    <font>
      <vertAlign val="superscript"/>
      <sz val="10"/>
      <color indexed="8"/>
      <name val="Arial"/>
      <family val="0"/>
    </font>
    <font>
      <sz val="8.25"/>
      <color indexed="8"/>
      <name val="Arial"/>
      <family val="0"/>
    </font>
    <font>
      <b/>
      <sz val="10.5"/>
      <color indexed="8"/>
      <name val="Arial"/>
      <family val="0"/>
    </font>
    <font>
      <sz val="7.55"/>
      <color indexed="8"/>
      <name val="Arial"/>
      <family val="0"/>
    </font>
    <font>
      <vertAlign val="superscript"/>
      <sz val="8.25"/>
      <color indexed="8"/>
      <name val="Arial"/>
      <family val="0"/>
    </font>
    <font>
      <sz val="8.5"/>
      <color indexed="8"/>
      <name val="Arial"/>
      <family val="0"/>
    </font>
    <font>
      <b/>
      <sz val="10.75"/>
      <color indexed="8"/>
      <name val="Arial"/>
      <family val="0"/>
    </font>
    <font>
      <sz val="7.8"/>
      <color indexed="8"/>
      <name val="Arial"/>
      <family val="0"/>
    </font>
    <font>
      <vertAlign val="superscript"/>
      <sz val="8.5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4"/>
      <color indexed="8"/>
      <name val="Symbol"/>
      <family val="0"/>
    </font>
    <font>
      <sz val="8"/>
      <color indexed="8"/>
      <name val="Arial"/>
      <family val="0"/>
    </font>
    <font>
      <sz val="16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justify"/>
    </xf>
    <xf numFmtId="9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justify"/>
    </xf>
    <xf numFmtId="9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0" applyNumberFormat="1" applyFill="1" applyAlignment="1">
      <alignment vertical="center"/>
    </xf>
    <xf numFmtId="9" fontId="0" fillId="0" borderId="0" xfId="5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34" borderId="0" xfId="0" applyFill="1" applyAlignment="1">
      <alignment vertical="center"/>
    </xf>
    <xf numFmtId="2" fontId="0" fillId="35" borderId="0" xfId="0" applyNumberForma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2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vertical="center"/>
    </xf>
    <xf numFmtId="1" fontId="0" fillId="0" borderId="0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2" fontId="0" fillId="0" borderId="0" xfId="0" applyNumberFormat="1" applyFont="1" applyFill="1" applyAlignment="1">
      <alignment horizontal="center" vertical="center"/>
    </xf>
    <xf numFmtId="9" fontId="0" fillId="0" borderId="0" xfId="0" applyNumberFormat="1" applyAlignment="1">
      <alignment horizontal="right"/>
    </xf>
    <xf numFmtId="178" fontId="0" fillId="0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186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179" fontId="0" fillId="0" borderId="0" xfId="0" applyNumberFormat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35" borderId="0" xfId="0" applyFill="1" applyBorder="1" applyAlignment="1">
      <alignment horizontal="center" vertical="center"/>
    </xf>
    <xf numFmtId="2" fontId="0" fillId="35" borderId="0" xfId="0" applyNumberFormat="1" applyFill="1" applyAlignment="1">
      <alignment horizontal="center" vertical="center"/>
    </xf>
    <xf numFmtId="9" fontId="0" fillId="35" borderId="0" xfId="0" applyNumberFormat="1" applyFill="1" applyAlignment="1">
      <alignment horizontal="center" vertical="center"/>
    </xf>
    <xf numFmtId="1" fontId="0" fillId="36" borderId="0" xfId="0" applyNumberFormat="1" applyFill="1" applyAlignment="1">
      <alignment horizontal="center" vertical="center"/>
    </xf>
    <xf numFmtId="9" fontId="0" fillId="0" borderId="0" xfId="0" applyNumberFormat="1" applyFill="1" applyAlignment="1">
      <alignment horizontal="center" vertical="center"/>
    </xf>
    <xf numFmtId="9" fontId="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13" xfId="0" applyFon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9" fontId="3" fillId="0" borderId="10" xfId="50" applyFont="1" applyBorder="1" applyAlignment="1">
      <alignment horizontal="center" vertical="center"/>
    </xf>
    <xf numFmtId="9" fontId="3" fillId="0" borderId="14" xfId="5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vertical="center"/>
    </xf>
    <xf numFmtId="179" fontId="0" fillId="0" borderId="0" xfId="0" applyNumberFormat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186" fontId="0" fillId="0" borderId="0" xfId="0" applyNumberFormat="1" applyFill="1" applyAlignment="1">
      <alignment horizontal="center" vertical="center"/>
    </xf>
    <xf numFmtId="0" fontId="10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9" fontId="0" fillId="0" borderId="10" xfId="0" applyNumberFormat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178" fontId="0" fillId="0" borderId="10" xfId="0" applyNumberForma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178" fontId="0" fillId="0" borderId="16" xfId="0" applyNumberFormat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ill="1" applyAlignment="1" applyProtection="1">
      <alignment horizontal="center" vertical="center"/>
      <protection/>
    </xf>
    <xf numFmtId="0" fontId="0" fillId="37" borderId="0" xfId="0" applyFont="1" applyFill="1" applyAlignment="1" applyProtection="1">
      <alignment horizontal="center" vertical="center"/>
      <protection locked="0"/>
    </xf>
    <xf numFmtId="0" fontId="0" fillId="37" borderId="0" xfId="0" applyFont="1" applyFill="1" applyBorder="1" applyAlignment="1" applyProtection="1">
      <alignment horizontal="center" vertical="center"/>
      <protection locked="0"/>
    </xf>
    <xf numFmtId="2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0" fillId="37" borderId="0" xfId="0" applyFill="1" applyBorder="1" applyAlignment="1" applyProtection="1">
      <alignment horizontal="center" vertical="center"/>
      <protection locked="0"/>
    </xf>
    <xf numFmtId="2" fontId="0" fillId="37" borderId="0" xfId="0" applyNumberFormat="1" applyFill="1" applyBorder="1" applyAlignment="1" applyProtection="1">
      <alignment horizontal="center" vertical="center"/>
      <protection locked="0"/>
    </xf>
    <xf numFmtId="9" fontId="0" fillId="37" borderId="0" xfId="0" applyNumberFormat="1" applyFill="1" applyAlignment="1" applyProtection="1">
      <alignment horizontal="center" vertical="center"/>
      <protection locked="0"/>
    </xf>
    <xf numFmtId="0" fontId="0" fillId="37" borderId="0" xfId="0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 vertical="center"/>
    </xf>
    <xf numFmtId="9" fontId="0" fillId="0" borderId="0" xfId="50" applyFont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9" fontId="0" fillId="0" borderId="0" xfId="5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9" fontId="0" fillId="0" borderId="0" xfId="5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9" fontId="0" fillId="0" borderId="0" xfId="50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right" vertical="center"/>
      <protection locked="0"/>
    </xf>
    <xf numFmtId="2" fontId="0" fillId="0" borderId="0" xfId="0" applyNumberFormat="1" applyFill="1" applyBorder="1" applyAlignment="1" applyProtection="1">
      <alignment horizontal="right" vertical="center"/>
      <protection locked="0"/>
    </xf>
    <xf numFmtId="2" fontId="0" fillId="0" borderId="0" xfId="0" applyNumberFormat="1" applyFill="1" applyAlignment="1">
      <alignment horizontal="right" vertical="center"/>
    </xf>
    <xf numFmtId="1" fontId="0" fillId="0" borderId="0" xfId="0" applyNumberFormat="1" applyFont="1" applyFill="1" applyAlignment="1">
      <alignment horizontal="right" vertical="center"/>
    </xf>
    <xf numFmtId="9" fontId="0" fillId="0" borderId="0" xfId="0" applyNumberFormat="1" applyFill="1" applyAlignment="1" applyProtection="1">
      <alignment horizontal="right"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37" borderId="0" xfId="0" applyFill="1" applyAlignment="1">
      <alignment horizontal="left"/>
    </xf>
    <xf numFmtId="0" fontId="0" fillId="0" borderId="0" xfId="0" applyFill="1" applyAlignment="1">
      <alignment horizontal="left"/>
    </xf>
    <xf numFmtId="9" fontId="0" fillId="37" borderId="0" xfId="50" applyFont="1" applyFill="1" applyBorder="1" applyAlignment="1" applyProtection="1">
      <alignment horizontal="center" vertical="center"/>
      <protection locked="0"/>
    </xf>
    <xf numFmtId="0" fontId="0" fillId="37" borderId="0" xfId="0" applyFill="1" applyAlignment="1" applyProtection="1">
      <alignment/>
      <protection locked="0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78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8" borderId="0" xfId="0" applyFont="1" applyFill="1" applyAlignment="1" applyProtection="1">
      <alignment horizontal="left" vertical="center"/>
      <protection locked="0"/>
    </xf>
    <xf numFmtId="0" fontId="0" fillId="38" borderId="0" xfId="0" applyFill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justify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7">
    <dxf>
      <font>
        <color indexed="11"/>
      </font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22"/>
        </patternFill>
      </fill>
    </dxf>
    <dxf>
      <font>
        <color indexed="9"/>
      </font>
      <fill>
        <patternFill patternType="solid">
          <bgColor indexed="9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carga de bolas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0.799"/>
          <c:h val="0.91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'Moinho de Bolas'!$F$2</c:f>
              <c:strCache>
                <c:ptCount val="1"/>
                <c:pt idx="0">
                  <c:v>35%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'Moinho de Bolas'!$B$3:$B$28</c:f>
              <c:numCache/>
            </c:numRef>
          </c:xVal>
          <c:yVal>
            <c:numRef>
              <c:f>'Moinho de Bolas'!$F$3:$F$28</c:f>
              <c:numCache/>
            </c:numRef>
          </c:yVal>
          <c:smooth val="0"/>
        </c:ser>
        <c:ser>
          <c:idx val="1"/>
          <c:order val="1"/>
          <c:tx>
            <c:strRef>
              <c:f>'Moinho de Bolas'!$G$2</c:f>
              <c:strCache>
                <c:ptCount val="1"/>
                <c:pt idx="0">
                  <c:v>40%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'Moinho de Bolas'!$B$3:$B$28</c:f>
              <c:numCache/>
            </c:numRef>
          </c:xVal>
          <c:yVal>
            <c:numRef>
              <c:f>'Moinho de Bolas'!$G$3:$G$28</c:f>
              <c:numCache/>
            </c:numRef>
          </c:yVal>
          <c:smooth val="0"/>
        </c:ser>
        <c:ser>
          <c:idx val="2"/>
          <c:order val="2"/>
          <c:tx>
            <c:strRef>
              <c:f>'Moinho de Bolas'!$H$2</c:f>
              <c:strCache>
                <c:ptCount val="1"/>
                <c:pt idx="0">
                  <c:v>45%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'Moinho de Bolas'!$B$3:$B$28</c:f>
              <c:numCache/>
            </c:numRef>
          </c:xVal>
          <c:yVal>
            <c:numRef>
              <c:f>'Moinho de Bolas'!$H$3:$H$28</c:f>
              <c:numCache/>
            </c:numRef>
          </c:yVal>
          <c:smooth val="0"/>
        </c:ser>
        <c:axId val="33481527"/>
        <c:axId val="32898288"/>
      </c:scatterChart>
      <c:valAx>
        <c:axId val="33481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98288"/>
        <c:crosses val="autoZero"/>
        <c:crossBetween val="midCat"/>
        <c:dispUnits/>
      </c:valAx>
      <c:valAx>
        <c:axId val="32898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815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3525"/>
          <c:w val="0.184"/>
          <c:h val="0.2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potencia overflow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0.78275"/>
          <c:h val="0.91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'Moinho de Bolas'!$F$2</c:f>
              <c:strCache>
                <c:ptCount val="1"/>
                <c:pt idx="0">
                  <c:v>35%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'Moinho de Bolas'!$B$3:$B$28</c:f>
              <c:numCache/>
            </c:numRef>
          </c:xVal>
          <c:yVal>
            <c:numRef>
              <c:f>'Moinho de Bolas'!$I$3:$I$28</c:f>
              <c:numCache/>
            </c:numRef>
          </c:yVal>
          <c:smooth val="0"/>
        </c:ser>
        <c:ser>
          <c:idx val="1"/>
          <c:order val="1"/>
          <c:tx>
            <c:strRef>
              <c:f>'Moinho de Bolas'!$G$2</c:f>
              <c:strCache>
                <c:ptCount val="1"/>
                <c:pt idx="0">
                  <c:v>40%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'Moinho de Bolas'!$B$3:$B$28</c:f>
              <c:numCache/>
            </c:numRef>
          </c:xVal>
          <c:yVal>
            <c:numRef>
              <c:f>'Moinho de Bolas'!$J$3:$J$28</c:f>
              <c:numCache/>
            </c:numRef>
          </c:yVal>
          <c:smooth val="0"/>
        </c:ser>
        <c:ser>
          <c:idx val="2"/>
          <c:order val="2"/>
          <c:tx>
            <c:strRef>
              <c:f>'Moinho de Bolas'!$H$2</c:f>
              <c:strCache>
                <c:ptCount val="1"/>
                <c:pt idx="0">
                  <c:v>45%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'Moinho de Bolas'!$B$3:$B$28</c:f>
              <c:numCache/>
            </c:numRef>
          </c:xVal>
          <c:yVal>
            <c:numRef>
              <c:f>'Moinho de Bolas'!$K$3:$K$28</c:f>
              <c:numCache/>
            </c:numRef>
          </c:yVal>
          <c:smooth val="0"/>
        </c:ser>
        <c:axId val="27649137"/>
        <c:axId val="47515642"/>
      </c:scatterChart>
      <c:valAx>
        <c:axId val="27649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15642"/>
        <c:crosses val="autoZero"/>
        <c:crossBetween val="midCat"/>
        <c:dispUnits/>
      </c:valAx>
      <c:valAx>
        <c:axId val="47515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491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37325"/>
          <c:w val="0.194"/>
          <c:h val="0.1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potencia diafragma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"/>
          <c:w val="0.787"/>
          <c:h val="0.9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'Moinho de Bolas'!$F$2</c:f>
              <c:strCache>
                <c:ptCount val="1"/>
                <c:pt idx="0">
                  <c:v>35%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'Moinho de Bolas'!$B$3:$B$28</c:f>
              <c:numCache/>
            </c:numRef>
          </c:xVal>
          <c:yVal>
            <c:numRef>
              <c:f>'Moinho de Bolas'!$L$3:$L$28</c:f>
              <c:numCache/>
            </c:numRef>
          </c:yVal>
          <c:smooth val="0"/>
        </c:ser>
        <c:ser>
          <c:idx val="1"/>
          <c:order val="1"/>
          <c:tx>
            <c:strRef>
              <c:f>'Moinho de Bolas'!$G$2</c:f>
              <c:strCache>
                <c:ptCount val="1"/>
                <c:pt idx="0">
                  <c:v>40%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'Moinho de Bolas'!$B$3:$B$28</c:f>
              <c:numCache/>
            </c:numRef>
          </c:xVal>
          <c:yVal>
            <c:numRef>
              <c:f>'Moinho de Bolas'!$M$3:$M$28</c:f>
              <c:numCache/>
            </c:numRef>
          </c:yVal>
          <c:smooth val="0"/>
        </c:ser>
        <c:ser>
          <c:idx val="2"/>
          <c:order val="2"/>
          <c:tx>
            <c:strRef>
              <c:f>'Moinho de Bolas'!$H$2</c:f>
              <c:strCache>
                <c:ptCount val="1"/>
                <c:pt idx="0">
                  <c:v>45%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'Moinho de Bolas'!$B$3:$B$28</c:f>
              <c:numCache/>
            </c:numRef>
          </c:xVal>
          <c:yVal>
            <c:numRef>
              <c:f>'Moinho de Bolas'!$N$3:$N$28</c:f>
              <c:numCache/>
            </c:numRef>
          </c:yVal>
          <c:smooth val="0"/>
        </c:ser>
        <c:axId val="24987595"/>
        <c:axId val="23561764"/>
      </c:scatterChart>
      <c:valAx>
        <c:axId val="24987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61764"/>
        <c:crosses val="autoZero"/>
        <c:crossBetween val="midCat"/>
        <c:dispUnits/>
      </c:valAx>
      <c:valAx>
        <c:axId val="235617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875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75"/>
          <c:y val="0.36125"/>
          <c:w val="0.18725"/>
          <c:h val="0.1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425"/>
          <c:w val="0.96575"/>
          <c:h val="0.951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Cálculos!$C$13:$C$22</c:f>
              <c:numCache/>
            </c:numRef>
          </c:xVal>
          <c:yVal>
            <c:numRef>
              <c:f>Cálculos!$B$13:$B$22</c:f>
              <c:numCache/>
            </c:numRef>
          </c:yVal>
          <c:smooth val="1"/>
        </c:ser>
        <c:axId val="10729285"/>
        <c:axId val="29454702"/>
      </c:scatterChart>
      <c:valAx>
        <c:axId val="10729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54702"/>
        <c:crosses val="autoZero"/>
        <c:crossBetween val="midCat"/>
        <c:dispUnits/>
      </c:valAx>
      <c:valAx>
        <c:axId val="29454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292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8"/>
          <c:w val="0.9585"/>
          <c:h val="0.92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Cálculos!$C$13:$C$14</c:f>
              <c:numCache/>
            </c:numRef>
          </c:xVal>
          <c:yVal>
            <c:numRef>
              <c:f>Cálculos!$B$13:$B$14</c:f>
              <c:numCache/>
            </c:numRef>
          </c:yVal>
          <c:smooth val="1"/>
        </c:ser>
        <c:axId val="63765727"/>
        <c:axId val="37020632"/>
      </c:scatterChart>
      <c:valAx>
        <c:axId val="63765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20632"/>
        <c:crosses val="autoZero"/>
        <c:crossBetween val="midCat"/>
        <c:dispUnits/>
      </c:valAx>
      <c:valAx>
        <c:axId val="37020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657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Potência/Enchimento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2375"/>
          <c:w val="0.81925"/>
          <c:h val="0.8105"/>
        </c:manualLayout>
      </c:layout>
      <c:scatterChart>
        <c:scatterStyle val="smoothMarker"/>
        <c:varyColors val="0"/>
        <c:ser>
          <c:idx val="0"/>
          <c:order val="0"/>
          <c:tx>
            <c:v>25%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'Validação dos Cálculos'!$B$4:$B$37</c:f>
              <c:numCache/>
            </c:numRef>
          </c:xVal>
          <c:yVal>
            <c:numRef>
              <c:f>'Validação dos Cálculos'!$C$4:$C$37</c:f>
              <c:numCache/>
            </c:numRef>
          </c:yVal>
          <c:smooth val="1"/>
        </c:ser>
        <c:ser>
          <c:idx val="1"/>
          <c:order val="1"/>
          <c:tx>
            <c:v>30%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'Validação dos Cálculos'!$B$4:$B$37</c:f>
              <c:numCache/>
            </c:numRef>
          </c:xVal>
          <c:yVal>
            <c:numRef>
              <c:f>'Validação dos Cálculos'!$D$4:$D$37</c:f>
              <c:numCache/>
            </c:numRef>
          </c:yVal>
          <c:smooth val="1"/>
        </c:ser>
        <c:ser>
          <c:idx val="2"/>
          <c:order val="2"/>
          <c:tx>
            <c:v>35%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'Validação dos Cálculos'!$B$4:$B$37</c:f>
              <c:numCache/>
            </c:numRef>
          </c:xVal>
          <c:yVal>
            <c:numRef>
              <c:f>'Validação dos Cálculos'!$E$4:$E$37</c:f>
              <c:numCache/>
            </c:numRef>
          </c:yVal>
          <c:smooth val="1"/>
        </c:ser>
        <c:ser>
          <c:idx val="3"/>
          <c:order val="3"/>
          <c:tx>
            <c:v>40%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'Validação dos Cálculos'!$B$4:$B$37</c:f>
              <c:numCache/>
            </c:numRef>
          </c:xVal>
          <c:yVal>
            <c:numRef>
              <c:f>'Validação dos Cálculos'!$F$4:$F$37</c:f>
              <c:numCache/>
            </c:numRef>
          </c:yVal>
          <c:smooth val="1"/>
        </c:ser>
        <c:ser>
          <c:idx val="4"/>
          <c:order val="4"/>
          <c:tx>
            <c:v>45%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'Validação dos Cálculos'!$B$4:$B$37</c:f>
              <c:numCache/>
            </c:numRef>
          </c:xVal>
          <c:yVal>
            <c:numRef>
              <c:f>'Validação dos Cálculos'!$G$4:$G$37</c:f>
              <c:numCache/>
            </c:numRef>
          </c:yVal>
          <c:smooth val="1"/>
        </c:ser>
        <c:axId val="64750233"/>
        <c:axId val="45881186"/>
      </c:scatterChart>
      <c:valAx>
        <c:axId val="64750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Diâmetro (pés)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81186"/>
        <c:crosses val="autoZero"/>
        <c:crossBetween val="midCat"/>
        <c:dispUnits/>
        <c:minorUnit val="0.5"/>
      </c:valAx>
      <c:valAx>
        <c:axId val="45881186"/>
        <c:scaling>
          <c:orientation val="minMax"/>
          <c:max val="1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Potência (HP)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50233"/>
        <c:crosses val="autoZero"/>
        <c:crossBetween val="midCat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8"/>
          <c:y val="0.318"/>
          <c:w val="0.108"/>
          <c:h val="0.2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16</xdr:row>
      <xdr:rowOff>257175</xdr:rowOff>
    </xdr:from>
    <xdr:to>
      <xdr:col>6</xdr:col>
      <xdr:colOff>66675</xdr:colOff>
      <xdr:row>18</xdr:row>
      <xdr:rowOff>28575</xdr:rowOff>
    </xdr:to>
    <xdr:sp>
      <xdr:nvSpPr>
        <xdr:cNvPr id="1" name="AutoShape 3"/>
        <xdr:cNvSpPr>
          <a:spLocks/>
        </xdr:cNvSpPr>
      </xdr:nvSpPr>
      <xdr:spPr>
        <a:xfrm>
          <a:off x="2971800" y="2838450"/>
          <a:ext cx="647700" cy="20002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123825</xdr:colOff>
      <xdr:row>1</xdr:row>
      <xdr:rowOff>57150</xdr:rowOff>
    </xdr:from>
    <xdr:to>
      <xdr:col>14</xdr:col>
      <xdr:colOff>476250</xdr:colOff>
      <xdr:row>7</xdr:row>
      <xdr:rowOff>419100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rcRect t="21041" b="19523"/>
        <a:stretch>
          <a:fillRect/>
        </a:stretch>
      </xdr:blipFill>
      <xdr:spPr>
        <a:xfrm>
          <a:off x="6153150" y="219075"/>
          <a:ext cx="27908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t="21041" b="19523"/>
        <a:stretch>
          <a:fillRect/>
        </a:stretch>
      </xdr:blipFill>
      <xdr:spPr>
        <a:xfrm>
          <a:off x="0" y="0"/>
          <a:ext cx="1914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295275</xdr:colOff>
      <xdr:row>36</xdr:row>
      <xdr:rowOff>142875</xdr:rowOff>
    </xdr:from>
    <xdr:to>
      <xdr:col>14</xdr:col>
      <xdr:colOff>200025</xdr:colOff>
      <xdr:row>73</xdr:row>
      <xdr:rowOff>19050</xdr:rowOff>
    </xdr:to>
    <xdr:graphicFrame>
      <xdr:nvGraphicFramePr>
        <xdr:cNvPr id="1" name="Chart 1"/>
        <xdr:cNvGraphicFramePr/>
      </xdr:nvGraphicFramePr>
      <xdr:xfrm>
        <a:off x="809625" y="6457950"/>
        <a:ext cx="671512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73</xdr:row>
      <xdr:rowOff>142875</xdr:rowOff>
    </xdr:from>
    <xdr:to>
      <xdr:col>12</xdr:col>
      <xdr:colOff>152400</xdr:colOff>
      <xdr:row>110</xdr:row>
      <xdr:rowOff>28575</xdr:rowOff>
    </xdr:to>
    <xdr:graphicFrame>
      <xdr:nvGraphicFramePr>
        <xdr:cNvPr id="2" name="Chart 2"/>
        <xdr:cNvGraphicFramePr/>
      </xdr:nvGraphicFramePr>
      <xdr:xfrm>
        <a:off x="866775" y="12449175"/>
        <a:ext cx="5581650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112</xdr:row>
      <xdr:rowOff>0</xdr:rowOff>
    </xdr:from>
    <xdr:to>
      <xdr:col>11</xdr:col>
      <xdr:colOff>514350</xdr:colOff>
      <xdr:row>148</xdr:row>
      <xdr:rowOff>57150</xdr:rowOff>
    </xdr:to>
    <xdr:graphicFrame>
      <xdr:nvGraphicFramePr>
        <xdr:cNvPr id="3" name="Chart 3"/>
        <xdr:cNvGraphicFramePr/>
      </xdr:nvGraphicFramePr>
      <xdr:xfrm>
        <a:off x="514350" y="18621375"/>
        <a:ext cx="5781675" cy="588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419100</xdr:colOff>
      <xdr:row>0</xdr:row>
      <xdr:rowOff>142875</xdr:rowOff>
    </xdr:from>
    <xdr:ext cx="5629275" cy="3990975"/>
    <xdr:graphicFrame>
      <xdr:nvGraphicFramePr>
        <xdr:cNvPr id="1" name="Chart 1"/>
        <xdr:cNvGraphicFramePr/>
      </xdr:nvGraphicFramePr>
      <xdr:xfrm>
        <a:off x="3552825" y="142875"/>
        <a:ext cx="56292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247650</xdr:colOff>
      <xdr:row>30</xdr:row>
      <xdr:rowOff>0</xdr:rowOff>
    </xdr:from>
    <xdr:ext cx="4676775" cy="2590800"/>
    <xdr:graphicFrame>
      <xdr:nvGraphicFramePr>
        <xdr:cNvPr id="2" name="Chart 2"/>
        <xdr:cNvGraphicFramePr/>
      </xdr:nvGraphicFramePr>
      <xdr:xfrm>
        <a:off x="3990975" y="4857750"/>
        <a:ext cx="46767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11</xdr:col>
      <xdr:colOff>523875</xdr:colOff>
      <xdr:row>0</xdr:row>
      <xdr:rowOff>0</xdr:rowOff>
    </xdr:from>
    <xdr:to>
      <xdr:col>30</xdr:col>
      <xdr:colOff>304800</xdr:colOff>
      <xdr:row>47</xdr:row>
      <xdr:rowOff>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0"/>
          <a:ext cx="11363325" cy="761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123825</xdr:colOff>
      <xdr:row>19</xdr:row>
      <xdr:rowOff>76200</xdr:rowOff>
    </xdr:from>
    <xdr:to>
      <xdr:col>16</xdr:col>
      <xdr:colOff>542925</xdr:colOff>
      <xdr:row>21</xdr:row>
      <xdr:rowOff>66675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9963150" y="3152775"/>
          <a:ext cx="4191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Ycg</a:t>
          </a:r>
        </a:p>
      </xdr:txBody>
    </xdr:sp>
    <xdr:clientData/>
  </xdr:twoCellAnchor>
  <xdr:twoCellAnchor>
    <xdr:from>
      <xdr:col>20</xdr:col>
      <xdr:colOff>590550</xdr:colOff>
      <xdr:row>15</xdr:row>
      <xdr:rowOff>19050</xdr:rowOff>
    </xdr:from>
    <xdr:to>
      <xdr:col>21</xdr:col>
      <xdr:colOff>200025</xdr:colOff>
      <xdr:row>16</xdr:row>
      <xdr:rowOff>133350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2868275" y="2447925"/>
          <a:ext cx="2190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25</xdr:col>
      <xdr:colOff>333375</xdr:colOff>
      <xdr:row>26</xdr:row>
      <xdr:rowOff>114300</xdr:rowOff>
    </xdr:from>
    <xdr:to>
      <xdr:col>26</xdr:col>
      <xdr:colOff>466725</xdr:colOff>
      <xdr:row>28</xdr:row>
      <xdr:rowOff>104775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5659100" y="4324350"/>
          <a:ext cx="7429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b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=f(Cs)</a:t>
          </a:r>
        </a:p>
      </xdr:txBody>
    </xdr:sp>
    <xdr:clientData/>
  </xdr:twoCellAnchor>
  <xdr:twoCellAnchor>
    <xdr:from>
      <xdr:col>19</xdr:col>
      <xdr:colOff>542925</xdr:colOff>
      <xdr:row>6</xdr:row>
      <xdr:rowOff>38100</xdr:rowOff>
    </xdr:from>
    <xdr:to>
      <xdr:col>23</xdr:col>
      <xdr:colOff>209550</xdr:colOff>
      <xdr:row>9</xdr:row>
      <xdr:rowOff>9525</xdr:rowOff>
    </xdr:to>
    <xdr:sp>
      <xdr:nvSpPr>
        <xdr:cNvPr id="7" name="AutoShape 11"/>
        <xdr:cNvSpPr>
          <a:spLocks/>
        </xdr:cNvSpPr>
      </xdr:nvSpPr>
      <xdr:spPr>
        <a:xfrm>
          <a:off x="12211050" y="1009650"/>
          <a:ext cx="2105025" cy="457200"/>
        </a:xfrm>
        <a:prstGeom prst="curvedDownArrow">
          <a:avLst>
            <a:gd name="adj" fmla="val 23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4</xdr:row>
      <xdr:rowOff>38100</xdr:rowOff>
    </xdr:from>
    <xdr:to>
      <xdr:col>21</xdr:col>
      <xdr:colOff>523875</xdr:colOff>
      <xdr:row>5</xdr:row>
      <xdr:rowOff>85725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13039725" y="685800"/>
          <a:ext cx="3714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Cs</a:t>
          </a:r>
        </a:p>
      </xdr:txBody>
    </xdr:sp>
    <xdr:clientData/>
  </xdr:twoCellAnchor>
  <xdr:twoCellAnchor>
    <xdr:from>
      <xdr:col>20</xdr:col>
      <xdr:colOff>600075</xdr:colOff>
      <xdr:row>37</xdr:row>
      <xdr:rowOff>123825</xdr:rowOff>
    </xdr:from>
    <xdr:to>
      <xdr:col>22</xdr:col>
      <xdr:colOff>219075</xdr:colOff>
      <xdr:row>39</xdr:row>
      <xdr:rowOff>114300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12877800" y="6115050"/>
          <a:ext cx="8382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 = A </a:t>
          </a:r>
          <a:r>
            <a:rPr lang="en-US" cap="none" sz="14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g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24</xdr:col>
      <xdr:colOff>552450</xdr:colOff>
      <xdr:row>11</xdr:row>
      <xdr:rowOff>133350</xdr:rowOff>
    </xdr:from>
    <xdr:to>
      <xdr:col>26</xdr:col>
      <xdr:colOff>447675</xdr:colOff>
      <xdr:row>16</xdr:row>
      <xdr:rowOff>66675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15268575" y="1914525"/>
          <a:ext cx="11144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G.r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 = f(M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 = f(</a:t>
          </a:r>
          <a:r>
            <a:rPr lang="en-US" cap="none" sz="14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b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; Ycg)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2</xdr:row>
      <xdr:rowOff>95250</xdr:rowOff>
    </xdr:from>
    <xdr:to>
      <xdr:col>17</xdr:col>
      <xdr:colOff>466725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3743325" y="485775"/>
        <a:ext cx="64293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B2:S24"/>
  <sheetViews>
    <sheetView showGridLines="0" tabSelected="1" zoomScalePageLayoutView="0" workbookViewId="0" topLeftCell="A1">
      <selection activeCell="D18" sqref="D18"/>
    </sheetView>
  </sheetViews>
  <sheetFormatPr defaultColWidth="9.140625" defaultRowHeight="12.75"/>
  <cols>
    <col min="2" max="2" width="10.28125" style="0" customWidth="1"/>
    <col min="4" max="4" width="10.57421875" style="0" customWidth="1"/>
    <col min="5" max="5" width="5.421875" style="0" customWidth="1"/>
    <col min="6" max="6" width="8.7109375" style="0" customWidth="1"/>
    <col min="7" max="7" width="6.7109375" style="0" customWidth="1"/>
    <col min="10" max="10" width="12.140625" style="0" customWidth="1"/>
    <col min="18" max="18" width="10.57421875" style="0" hidden="1" customWidth="1"/>
    <col min="19" max="19" width="0" style="0" hidden="1" customWidth="1"/>
  </cols>
  <sheetData>
    <row r="2" ht="12.75">
      <c r="B2" s="1" t="s">
        <v>215</v>
      </c>
    </row>
    <row r="3" ht="12.75">
      <c r="B3" s="1" t="s">
        <v>216</v>
      </c>
    </row>
    <row r="4" spans="8:10" ht="12.75">
      <c r="H4" s="169" t="s">
        <v>217</v>
      </c>
      <c r="I4" s="169"/>
      <c r="J4" s="169"/>
    </row>
    <row r="5" spans="8:10" ht="12.75">
      <c r="H5" s="169" t="s">
        <v>218</v>
      </c>
      <c r="I5" s="169"/>
      <c r="J5" s="169"/>
    </row>
    <row r="8" spans="2:16" ht="48" customHeight="1">
      <c r="B8" s="164" t="s">
        <v>200</v>
      </c>
      <c r="C8" s="165"/>
      <c r="D8" s="165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</row>
    <row r="9" spans="2:15" ht="3.75" customHeight="1"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2:15" ht="3.75" customHeight="1"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</row>
    <row r="11" spans="12:15" ht="3.75" customHeight="1">
      <c r="L11" s="161"/>
      <c r="M11" s="159"/>
      <c r="N11" s="159"/>
      <c r="O11" s="159"/>
    </row>
    <row r="12" spans="2:15" ht="3.75" customHeight="1"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</row>
    <row r="13" spans="2:15" ht="12.75"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</row>
    <row r="14" spans="2:15" ht="12.75">
      <c r="B14" s="159" t="s">
        <v>208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</row>
    <row r="15" ht="12.75">
      <c r="B15" t="s">
        <v>204</v>
      </c>
    </row>
    <row r="16" ht="12.75">
      <c r="B16" t="s">
        <v>214</v>
      </c>
    </row>
    <row r="17" ht="21" customHeight="1"/>
    <row r="18" spans="2:19" ht="12.75">
      <c r="B18" t="s">
        <v>205</v>
      </c>
      <c r="D18" s="163" t="s">
        <v>85</v>
      </c>
      <c r="R18" t="s">
        <v>85</v>
      </c>
      <c r="S18" t="str">
        <f>D18</f>
        <v>Sim</v>
      </c>
    </row>
    <row r="19" ht="12.75">
      <c r="R19" t="s">
        <v>86</v>
      </c>
    </row>
    <row r="22" spans="2:11" ht="12.75">
      <c r="B22" s="167" t="s">
        <v>206</v>
      </c>
      <c r="C22" s="167"/>
      <c r="D22" s="167"/>
      <c r="E22" s="167"/>
      <c r="F22" s="167"/>
      <c r="G22" s="160" t="s">
        <v>201</v>
      </c>
      <c r="H22" s="8" t="s">
        <v>202</v>
      </c>
      <c r="I22" s="168" t="s">
        <v>203</v>
      </c>
      <c r="J22" s="168"/>
      <c r="K22" s="168"/>
    </row>
    <row r="23" ht="12.75">
      <c r="B23" t="s">
        <v>212</v>
      </c>
    </row>
    <row r="24" ht="12.75">
      <c r="C24" t="s">
        <v>213</v>
      </c>
    </row>
  </sheetData>
  <sheetProtection password="8E6E" sheet="1" objects="1" scenarios="1" selectLockedCells="1"/>
  <mergeCells count="5">
    <mergeCell ref="B8:P8"/>
    <mergeCell ref="B22:F22"/>
    <mergeCell ref="I22:K22"/>
    <mergeCell ref="H4:J4"/>
    <mergeCell ref="H5:J5"/>
  </mergeCells>
  <dataValidations count="1">
    <dataValidation type="list" allowBlank="1" showInputMessage="1" showErrorMessage="1" sqref="D18">
      <formula1>$R$18:$R$19</formula1>
    </dataValidation>
  </dataValidations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86"/>
  <sheetViews>
    <sheetView showGridLines="0" view="pageBreakPreview" zoomScaleNormal="115" zoomScaleSheetLayoutView="100" zoomScalePageLayoutView="0" workbookViewId="0" topLeftCell="A1">
      <selection activeCell="H76" sqref="H76"/>
    </sheetView>
  </sheetViews>
  <sheetFormatPr defaultColWidth="9.140625" defaultRowHeight="12.75"/>
  <cols>
    <col min="1" max="1" width="15.140625" style="7" customWidth="1"/>
    <col min="2" max="2" width="9.140625" style="7" customWidth="1"/>
    <col min="3" max="3" width="12.8515625" style="7" customWidth="1"/>
    <col min="4" max="4" width="10.28125" style="7" bestFit="1" customWidth="1"/>
    <col min="5" max="9" width="9.421875" style="7" customWidth="1"/>
    <col min="10" max="10" width="2.421875" style="7" hidden="1" customWidth="1"/>
    <col min="11" max="11" width="10.140625" style="7" hidden="1" customWidth="1"/>
    <col min="12" max="12" width="30.28125" style="7" hidden="1" customWidth="1"/>
    <col min="13" max="17" width="9.140625" style="7" hidden="1" customWidth="1"/>
    <col min="18" max="16384" width="9.140625" style="7" customWidth="1"/>
  </cols>
  <sheetData>
    <row r="1" spans="1:9" ht="23.25" customHeight="1">
      <c r="A1" s="202"/>
      <c r="B1" s="203"/>
      <c r="C1" s="204"/>
      <c r="D1" s="193" t="s">
        <v>136</v>
      </c>
      <c r="E1" s="194"/>
      <c r="F1" s="194"/>
      <c r="G1" s="194"/>
      <c r="H1" s="194"/>
      <c r="I1" s="195"/>
    </row>
    <row r="2" spans="1:9" ht="23.25" customHeight="1">
      <c r="A2" s="205"/>
      <c r="B2" s="206"/>
      <c r="C2" s="207"/>
      <c r="D2" s="196"/>
      <c r="E2" s="197"/>
      <c r="F2" s="197"/>
      <c r="G2" s="197"/>
      <c r="H2" s="197"/>
      <c r="I2" s="198"/>
    </row>
    <row r="3" spans="1:9" ht="25.5" customHeight="1">
      <c r="A3" s="208"/>
      <c r="B3" s="209"/>
      <c r="C3" s="210"/>
      <c r="D3" s="199"/>
      <c r="E3" s="200"/>
      <c r="F3" s="200"/>
      <c r="G3" s="200"/>
      <c r="H3" s="200"/>
      <c r="I3" s="201"/>
    </row>
    <row r="4" spans="1:9" ht="3.75" customHeight="1">
      <c r="A4" s="48"/>
      <c r="B4" s="48"/>
      <c r="C4" s="48"/>
      <c r="D4" s="48"/>
      <c r="E4" s="48"/>
      <c r="F4" s="48"/>
      <c r="G4" s="48"/>
      <c r="H4" s="48"/>
      <c r="I4" s="48"/>
    </row>
    <row r="5" spans="1:11" ht="12.75">
      <c r="A5" s="16"/>
      <c r="B5" s="17" t="s">
        <v>39</v>
      </c>
      <c r="C5" s="114">
        <v>467</v>
      </c>
      <c r="D5" s="18" t="s">
        <v>0</v>
      </c>
      <c r="E5" s="188" t="s">
        <v>40</v>
      </c>
      <c r="F5" s="188"/>
      <c r="G5" s="188"/>
      <c r="H5" s="188"/>
      <c r="I5" s="188"/>
      <c r="K5" s="31" t="s">
        <v>4</v>
      </c>
    </row>
    <row r="6" spans="1:11" ht="12.75">
      <c r="A6" s="179" t="s">
        <v>41</v>
      </c>
      <c r="B6" s="179"/>
      <c r="C6" s="115">
        <v>1.2</v>
      </c>
      <c r="D6" s="18" t="s">
        <v>42</v>
      </c>
      <c r="E6" s="188"/>
      <c r="F6" s="188"/>
      <c r="G6" s="188"/>
      <c r="H6" s="188"/>
      <c r="I6" s="188"/>
      <c r="K6" s="32" t="s">
        <v>47</v>
      </c>
    </row>
    <row r="7" spans="1:11" ht="12.75">
      <c r="A7" s="180" t="s">
        <v>90</v>
      </c>
      <c r="B7" s="180"/>
      <c r="C7" s="114">
        <v>1</v>
      </c>
      <c r="D7" s="188" t="s">
        <v>43</v>
      </c>
      <c r="E7" s="188"/>
      <c r="F7" s="188"/>
      <c r="G7" s="188"/>
      <c r="H7" s="188"/>
      <c r="I7" s="188"/>
      <c r="K7" s="32" t="s">
        <v>48</v>
      </c>
    </row>
    <row r="8" spans="1:9" ht="12.75">
      <c r="A8" s="16"/>
      <c r="B8" s="19" t="s">
        <v>44</v>
      </c>
      <c r="C8" s="50">
        <f>(C5*C6)/C7</f>
        <v>560.4</v>
      </c>
      <c r="D8" s="20" t="s">
        <v>0</v>
      </c>
      <c r="E8" s="176" t="s">
        <v>1</v>
      </c>
      <c r="F8" s="177"/>
      <c r="G8" s="177"/>
      <c r="H8" s="177"/>
      <c r="I8" s="177"/>
    </row>
    <row r="9" spans="1:14" ht="12.75">
      <c r="A9" s="178" t="s">
        <v>63</v>
      </c>
      <c r="B9" s="178"/>
      <c r="C9" s="16"/>
      <c r="D9" s="20"/>
      <c r="E9" s="20"/>
      <c r="F9" s="20"/>
      <c r="G9" s="20"/>
      <c r="H9" s="20"/>
      <c r="I9" s="16"/>
      <c r="K9" s="31" t="s">
        <v>5</v>
      </c>
      <c r="N9" s="7" t="s">
        <v>105</v>
      </c>
    </row>
    <row r="10" spans="1:14" ht="12.75">
      <c r="A10" s="16"/>
      <c r="B10" s="19" t="s">
        <v>46</v>
      </c>
      <c r="C10" s="116">
        <v>5000</v>
      </c>
      <c r="D10" s="20" t="s">
        <v>183</v>
      </c>
      <c r="E10" s="20"/>
      <c r="F10" s="20"/>
      <c r="G10" s="20"/>
      <c r="H10" s="20"/>
      <c r="I10" s="16"/>
      <c r="K10" s="32" t="s">
        <v>49</v>
      </c>
      <c r="N10" s="7" t="s">
        <v>3</v>
      </c>
    </row>
    <row r="11" spans="1:14" ht="12.75">
      <c r="A11" s="16"/>
      <c r="B11" s="19" t="s">
        <v>45</v>
      </c>
      <c r="C11" s="116">
        <v>180</v>
      </c>
      <c r="D11" s="20" t="s">
        <v>183</v>
      </c>
      <c r="E11" s="20"/>
      <c r="F11" s="20"/>
      <c r="G11" s="20"/>
      <c r="H11" s="20"/>
      <c r="I11" s="16"/>
      <c r="K11" s="32" t="s">
        <v>50</v>
      </c>
      <c r="N11" s="7" t="s">
        <v>106</v>
      </c>
    </row>
    <row r="12" spans="1:11" ht="12.75">
      <c r="A12" s="16"/>
      <c r="B12" s="19" t="s">
        <v>53</v>
      </c>
      <c r="C12" s="117">
        <v>16</v>
      </c>
      <c r="D12" s="116" t="s">
        <v>3</v>
      </c>
      <c r="E12" s="176" t="s">
        <v>59</v>
      </c>
      <c r="F12" s="177"/>
      <c r="G12" s="177"/>
      <c r="H12" s="177"/>
      <c r="I12" s="177"/>
      <c r="K12" s="31" t="s">
        <v>6</v>
      </c>
    </row>
    <row r="13" spans="2:11" ht="12.75">
      <c r="B13" s="21" t="s">
        <v>61</v>
      </c>
      <c r="C13" s="23">
        <f>(10*C12)/(C11^0.5)-(10*C12)/(C10^0.5)</f>
        <v>9.662954180201925</v>
      </c>
      <c r="D13" s="22" t="str">
        <f>D12</f>
        <v>kWh/st</v>
      </c>
      <c r="E13" s="177" t="s">
        <v>62</v>
      </c>
      <c r="F13" s="177"/>
      <c r="G13" s="177"/>
      <c r="H13" s="177"/>
      <c r="I13" s="177"/>
      <c r="K13" s="32" t="s">
        <v>57</v>
      </c>
    </row>
    <row r="14" spans="1:11" ht="12.75">
      <c r="A14" s="107"/>
      <c r="B14" s="39" t="s">
        <v>135</v>
      </c>
      <c r="C14" s="110">
        <f>IF(D13=N10,((C13*1.10231)*C8)*1.341,(C13*C8)*1.341)</f>
        <v>8004.617277661674</v>
      </c>
      <c r="D14" s="111" t="s">
        <v>7</v>
      </c>
      <c r="E14" s="189" t="s">
        <v>185</v>
      </c>
      <c r="F14" s="189"/>
      <c r="G14" s="189"/>
      <c r="H14" s="189"/>
      <c r="I14" s="189"/>
      <c r="K14" s="32" t="s">
        <v>58</v>
      </c>
    </row>
    <row r="15" spans="2:8" ht="4.5" customHeight="1">
      <c r="B15" s="21"/>
      <c r="C15" s="23"/>
      <c r="D15" s="22"/>
      <c r="E15" s="22"/>
      <c r="F15" s="22"/>
      <c r="G15" s="22"/>
      <c r="H15" s="22"/>
    </row>
    <row r="16" spans="1:9" ht="12.75">
      <c r="A16" s="173" t="s">
        <v>54</v>
      </c>
      <c r="B16" s="173"/>
      <c r="C16" s="116" t="s">
        <v>47</v>
      </c>
      <c r="D16" s="24" t="s">
        <v>42</v>
      </c>
      <c r="E16" s="190"/>
      <c r="F16" s="177"/>
      <c r="G16" s="177"/>
      <c r="H16" s="177"/>
      <c r="I16" s="177"/>
    </row>
    <row r="17" spans="1:11" ht="12.75" customHeight="1">
      <c r="A17" s="175" t="s">
        <v>60</v>
      </c>
      <c r="B17" s="175"/>
      <c r="C17" s="118">
        <v>0.4</v>
      </c>
      <c r="D17" s="24" t="s">
        <v>42</v>
      </c>
      <c r="E17" s="190"/>
      <c r="F17" s="177"/>
      <c r="G17" s="177"/>
      <c r="H17" s="177"/>
      <c r="I17" s="177"/>
      <c r="K17" s="32"/>
    </row>
    <row r="18" spans="1:11" ht="12.75" customHeight="1">
      <c r="A18" s="173" t="s">
        <v>131</v>
      </c>
      <c r="B18" s="173"/>
      <c r="C18" s="116" t="s">
        <v>30</v>
      </c>
      <c r="D18" s="16"/>
      <c r="E18" s="176" t="s">
        <v>89</v>
      </c>
      <c r="F18" s="176"/>
      <c r="G18" s="176"/>
      <c r="H18" s="176"/>
      <c r="I18" s="176"/>
      <c r="K18" s="32"/>
    </row>
    <row r="19" ht="3" customHeight="1"/>
    <row r="20" ht="4.5" customHeight="1">
      <c r="C20" s="52"/>
    </row>
    <row r="21" spans="1:11" ht="12.75" customHeight="1">
      <c r="A21" s="178" t="s">
        <v>64</v>
      </c>
      <c r="B21" s="178"/>
      <c r="K21" s="31" t="s">
        <v>14</v>
      </c>
    </row>
    <row r="22" spans="1:11" ht="12.75">
      <c r="A22" s="173" t="s">
        <v>56</v>
      </c>
      <c r="B22" s="173"/>
      <c r="C22" s="116" t="s">
        <v>57</v>
      </c>
      <c r="D22" s="24" t="s">
        <v>42</v>
      </c>
      <c r="E22" s="24"/>
      <c r="F22" s="24"/>
      <c r="G22" s="24"/>
      <c r="H22" s="24"/>
      <c r="I22" s="16"/>
      <c r="K22" s="32"/>
    </row>
    <row r="23" spans="2:11" ht="12.75">
      <c r="B23" s="17" t="s">
        <v>65</v>
      </c>
      <c r="C23" s="50">
        <f>IF(C22=K14,1.3,1)</f>
        <v>1</v>
      </c>
      <c r="D23" s="20"/>
      <c r="E23" s="176" t="s">
        <v>9</v>
      </c>
      <c r="F23" s="177"/>
      <c r="G23" s="177"/>
      <c r="H23" s="177"/>
      <c r="I23" s="177"/>
      <c r="K23" s="32" t="s">
        <v>51</v>
      </c>
    </row>
    <row r="24" spans="2:11" ht="7.5" customHeight="1">
      <c r="B24" s="17"/>
      <c r="C24" s="25"/>
      <c r="D24" s="20"/>
      <c r="E24" s="20"/>
      <c r="F24" s="20"/>
      <c r="G24" s="20"/>
      <c r="H24" s="20"/>
      <c r="I24" s="26"/>
      <c r="K24" s="32" t="s">
        <v>52</v>
      </c>
    </row>
    <row r="25" spans="1:11" ht="12.75">
      <c r="A25" s="173" t="s">
        <v>55</v>
      </c>
      <c r="B25" s="173"/>
      <c r="C25" s="116" t="s">
        <v>50</v>
      </c>
      <c r="D25" s="24" t="s">
        <v>42</v>
      </c>
      <c r="E25" s="24"/>
      <c r="F25" s="24"/>
      <c r="G25" s="24"/>
      <c r="H25" s="24"/>
      <c r="I25" s="16"/>
      <c r="K25" s="32"/>
    </row>
    <row r="26" spans="2:11" ht="12.75">
      <c r="B26" s="17" t="s">
        <v>66</v>
      </c>
      <c r="C26" s="51">
        <f>IF(OR(C16=K7,C25=K11),1,IF(C28&lt;50%,1,VLOOKUP(C28,K55:L62,2,TRUE)))</f>
        <v>1</v>
      </c>
      <c r="D26" s="20"/>
      <c r="E26" s="176" t="s">
        <v>10</v>
      </c>
      <c r="F26" s="177"/>
      <c r="G26" s="177"/>
      <c r="H26" s="177"/>
      <c r="I26" s="177"/>
      <c r="K26" s="32"/>
    </row>
    <row r="27" spans="1:9" ht="12.75">
      <c r="A27" s="174" t="s">
        <v>67</v>
      </c>
      <c r="B27" s="174"/>
      <c r="C27" s="174"/>
      <c r="D27" s="174"/>
      <c r="E27" s="174"/>
      <c r="F27" s="174"/>
      <c r="G27" s="174"/>
      <c r="H27" s="174"/>
      <c r="I27" s="174"/>
    </row>
    <row r="28" spans="2:9" ht="12.75">
      <c r="B28" s="27"/>
      <c r="C28" s="162" t="s">
        <v>133</v>
      </c>
      <c r="D28" s="20"/>
      <c r="E28" s="176" t="s">
        <v>68</v>
      </c>
      <c r="F28" s="177"/>
      <c r="G28" s="177"/>
      <c r="H28" s="177"/>
      <c r="I28" s="177"/>
    </row>
    <row r="29" spans="2:11" s="29" customFormat="1" ht="7.5" customHeight="1">
      <c r="B29" s="35"/>
      <c r="C29" s="34"/>
      <c r="D29" s="24"/>
      <c r="E29" s="24"/>
      <c r="F29" s="24"/>
      <c r="G29" s="24"/>
      <c r="H29" s="24"/>
      <c r="I29" s="36"/>
      <c r="K29" s="31" t="s">
        <v>15</v>
      </c>
    </row>
    <row r="30" spans="1:11" ht="12.75">
      <c r="A30" s="171" t="s">
        <v>109</v>
      </c>
      <c r="B30" s="171"/>
      <c r="C30" s="171"/>
      <c r="D30" s="171"/>
      <c r="E30" s="59"/>
      <c r="F30" s="59"/>
      <c r="G30" s="59"/>
      <c r="H30" s="59"/>
      <c r="I30" s="26"/>
      <c r="K30" s="32" t="s">
        <v>51</v>
      </c>
    </row>
    <row r="31" spans="2:11" ht="12.75">
      <c r="B31" s="29" t="s">
        <v>98</v>
      </c>
      <c r="C31" s="119">
        <v>21</v>
      </c>
      <c r="D31" s="7" t="s">
        <v>8</v>
      </c>
      <c r="E31" s="177" t="s">
        <v>171</v>
      </c>
      <c r="F31" s="177"/>
      <c r="G31" s="177"/>
      <c r="H31" s="177"/>
      <c r="I31" s="177"/>
      <c r="K31" s="32" t="s">
        <v>52</v>
      </c>
    </row>
    <row r="32" spans="2:9" ht="12.75">
      <c r="B32" s="7" t="s">
        <v>210</v>
      </c>
      <c r="C32" s="52">
        <f>VLOOKUP(C31,IF(C16=K7,'Moinho de Barras'!B3:O22,'Moinho de Bolas'!B3:P36),IF(C16=K7,14,15),TRUE)</f>
        <v>20.4</v>
      </c>
      <c r="D32" s="7" t="s">
        <v>8</v>
      </c>
      <c r="E32" s="177" t="s">
        <v>70</v>
      </c>
      <c r="F32" s="177"/>
      <c r="G32" s="177"/>
      <c r="H32" s="177"/>
      <c r="I32" s="177"/>
    </row>
    <row r="33" spans="2:11" ht="12.75">
      <c r="B33" s="7" t="s">
        <v>209</v>
      </c>
      <c r="C33" s="57">
        <f>$C$54/$C$35*IF($C$16=$K$7,VLOOKUP($C$31,'Moinho de Barras'!B3:O22,3,TRUE),C32)</f>
        <v>29.660368642287892</v>
      </c>
      <c r="D33" s="7" t="s">
        <v>8</v>
      </c>
      <c r="E33" s="177" t="s">
        <v>71</v>
      </c>
      <c r="F33" s="177"/>
      <c r="G33" s="177"/>
      <c r="H33" s="177"/>
      <c r="I33" s="177"/>
      <c r="K33" s="32" t="s">
        <v>85</v>
      </c>
    </row>
    <row r="34" spans="1:11" ht="12.75">
      <c r="A34" s="29"/>
      <c r="C34" s="23">
        <f>C33/C31</f>
        <v>1.412398506775614</v>
      </c>
      <c r="D34" s="7" t="s">
        <v>42</v>
      </c>
      <c r="E34" s="177" t="s">
        <v>31</v>
      </c>
      <c r="F34" s="177"/>
      <c r="G34" s="177"/>
      <c r="H34" s="177"/>
      <c r="I34" s="177"/>
      <c r="K34" s="32" t="s">
        <v>86</v>
      </c>
    </row>
    <row r="35" spans="1:11" ht="12.75">
      <c r="A35" s="29"/>
      <c r="B35" s="29"/>
      <c r="C35" s="112">
        <f>Dados!C21</f>
        <v>5662.542471170604</v>
      </c>
      <c r="D35" s="22" t="s">
        <v>7</v>
      </c>
      <c r="E35" s="61" t="str">
        <f>IF(C16=K6,"Potência Padrão Moinho Quadrado","Potência Moinho Padrão ")</f>
        <v>Potência Padrão Moinho Quadrado</v>
      </c>
      <c r="K35" s="32"/>
    </row>
    <row r="36" spans="1:11" ht="12.75">
      <c r="A36" s="29"/>
      <c r="B36" s="29"/>
      <c r="E36" s="21">
        <f>IF(C16=K7,"L=","")</f>
      </c>
      <c r="F36" s="22">
        <f>IF(C16=K7,VLOOKUP($C$31,'Moinho de Barras'!B3:O22,3,TRUE),"")</f>
      </c>
      <c r="G36" s="7">
        <f>IF(C16=K7,"pés","")</f>
      </c>
      <c r="H36" s="61"/>
      <c r="I36" s="61"/>
      <c r="K36" s="32"/>
    </row>
    <row r="37" spans="1:11" ht="3.75" customHeight="1">
      <c r="A37" s="29"/>
      <c r="C37" s="57"/>
      <c r="K37" s="32"/>
    </row>
    <row r="38" spans="1:9" ht="12.75" customHeight="1">
      <c r="A38" s="29"/>
      <c r="B38" s="37" t="s">
        <v>69</v>
      </c>
      <c r="C38" s="50">
        <f>IF(C32&lt;12.62,(8/C32)^0.2,0.914)</f>
        <v>0.914</v>
      </c>
      <c r="D38" s="20" t="s">
        <v>42</v>
      </c>
      <c r="E38" s="176" t="s">
        <v>108</v>
      </c>
      <c r="F38" s="177"/>
      <c r="G38" s="177"/>
      <c r="H38" s="177"/>
      <c r="I38" s="177"/>
    </row>
    <row r="39" spans="1:11" ht="4.5" customHeight="1">
      <c r="A39" s="29"/>
      <c r="B39" s="37"/>
      <c r="C39" s="50"/>
      <c r="D39" s="20"/>
      <c r="E39" s="20"/>
      <c r="F39" s="20"/>
      <c r="G39" s="20"/>
      <c r="H39" s="20"/>
      <c r="I39" s="26"/>
      <c r="K39" s="30"/>
    </row>
    <row r="40" spans="1:11" ht="12.75" customHeight="1">
      <c r="A40" s="171" t="s">
        <v>110</v>
      </c>
      <c r="B40" s="171"/>
      <c r="C40" s="171"/>
      <c r="D40" s="171"/>
      <c r="E40" s="59"/>
      <c r="F40" s="59"/>
      <c r="G40" s="59"/>
      <c r="H40" s="59"/>
      <c r="I40" s="26"/>
      <c r="K40" s="31" t="s">
        <v>27</v>
      </c>
    </row>
    <row r="41" spans="1:14" ht="12.75">
      <c r="A41" s="29"/>
      <c r="B41" s="54" t="s">
        <v>74</v>
      </c>
      <c r="C41" s="53">
        <f>C10/C11</f>
        <v>27.77777777777778</v>
      </c>
      <c r="E41" s="177" t="s">
        <v>73</v>
      </c>
      <c r="F41" s="177"/>
      <c r="G41" s="177"/>
      <c r="H41" s="177"/>
      <c r="I41" s="177"/>
      <c r="K41" s="33">
        <v>0.35</v>
      </c>
      <c r="M41" s="7" t="s">
        <v>191</v>
      </c>
      <c r="N41" s="7">
        <f>IF(C12&lt;7,1,0)</f>
        <v>0</v>
      </c>
    </row>
    <row r="42" spans="1:14" ht="12.75">
      <c r="A42" s="29"/>
      <c r="B42" s="49" t="s">
        <v>75</v>
      </c>
      <c r="C42" s="106">
        <f>(13/C12)^0.5*IF(C16=K7,16000,4000)</f>
        <v>3605.551275463989</v>
      </c>
      <c r="D42" s="20" t="s">
        <v>183</v>
      </c>
      <c r="E42" s="176" t="s">
        <v>82</v>
      </c>
      <c r="F42" s="177"/>
      <c r="G42" s="177"/>
      <c r="H42" s="177"/>
      <c r="I42" s="177"/>
      <c r="K42" s="33">
        <v>0.4</v>
      </c>
      <c r="M42" s="7" t="s">
        <v>190</v>
      </c>
      <c r="N42" s="7">
        <f>((C41-N43)^2)^0.5</f>
        <v>16.959150326797385</v>
      </c>
    </row>
    <row r="43" spans="1:14" ht="12.75">
      <c r="A43" s="29"/>
      <c r="B43" s="37" t="s">
        <v>72</v>
      </c>
      <c r="C43" s="50">
        <f>IF(C10&gt;C42,(C41+(C12-7)*((C10-C42)/C42))/C41,1)</f>
        <v>1.1253071589424357</v>
      </c>
      <c r="D43" s="20"/>
      <c r="E43" s="176" t="s">
        <v>11</v>
      </c>
      <c r="F43" s="177"/>
      <c r="G43" s="177"/>
      <c r="H43" s="177"/>
      <c r="I43" s="177"/>
      <c r="K43" s="33">
        <v>0.45</v>
      </c>
      <c r="M43" s="7" t="s">
        <v>189</v>
      </c>
      <c r="N43" s="7">
        <f>8+5*B62/C32</f>
        <v>10.818627450980392</v>
      </c>
    </row>
    <row r="44" spans="1:9" ht="4.5" customHeight="1">
      <c r="A44" s="29"/>
      <c r="B44" s="37"/>
      <c r="C44" s="38"/>
      <c r="D44" s="20"/>
      <c r="E44" s="20"/>
      <c r="F44" s="20"/>
      <c r="G44" s="20"/>
      <c r="H44" s="20"/>
      <c r="I44" s="26"/>
    </row>
    <row r="45" spans="1:14" ht="12.75">
      <c r="A45" s="29"/>
      <c r="B45" s="37" t="s">
        <v>76</v>
      </c>
      <c r="C45" s="50">
        <f>IF(C11&lt;71,(C11+10.3)/(1.145*C11),1)</f>
        <v>1</v>
      </c>
      <c r="D45" s="20"/>
      <c r="E45" s="176" t="s">
        <v>12</v>
      </c>
      <c r="F45" s="177"/>
      <c r="G45" s="177"/>
      <c r="H45" s="177"/>
      <c r="I45" s="177"/>
      <c r="K45" s="31" t="s">
        <v>28</v>
      </c>
      <c r="N45" s="50">
        <f>IF($C$16=$K$7,1+(($C$41-(8+(5*(C33-0.5))/$C$31))^2)/150,1)</f>
        <v>1</v>
      </c>
    </row>
    <row r="46" spans="1:11" ht="4.5" customHeight="1">
      <c r="A46" s="29"/>
      <c r="B46" s="37"/>
      <c r="C46" s="38"/>
      <c r="D46" s="20"/>
      <c r="E46" s="20"/>
      <c r="F46" s="20"/>
      <c r="G46" s="20"/>
      <c r="H46" s="20"/>
      <c r="I46" s="26"/>
      <c r="K46" s="32" t="s">
        <v>30</v>
      </c>
    </row>
    <row r="47" spans="1:11" ht="12.75">
      <c r="A47" s="29"/>
      <c r="B47" s="37" t="s">
        <v>77</v>
      </c>
      <c r="C47" s="157">
        <f>IF(AND($C$16=$K$7,N42&gt;=2),IF(N41=1,1.2,1+(($C$41-(8+(5*$B$62)/$C$31))^2)/150),1)</f>
        <v>1</v>
      </c>
      <c r="D47" s="20"/>
      <c r="E47" s="176" t="s">
        <v>81</v>
      </c>
      <c r="F47" s="177"/>
      <c r="G47" s="177"/>
      <c r="H47" s="177"/>
      <c r="I47" s="177"/>
      <c r="K47" s="32" t="s">
        <v>29</v>
      </c>
    </row>
    <row r="48" spans="1:11" ht="4.5" customHeight="1">
      <c r="A48" s="29"/>
      <c r="B48" s="37"/>
      <c r="C48" s="38"/>
      <c r="D48" s="20"/>
      <c r="E48" s="20"/>
      <c r="F48" s="20"/>
      <c r="G48" s="20"/>
      <c r="H48" s="20"/>
      <c r="I48" s="26"/>
      <c r="K48" s="32"/>
    </row>
    <row r="49" spans="1:9" ht="12.75">
      <c r="A49" s="29"/>
      <c r="B49" s="37" t="s">
        <v>78</v>
      </c>
      <c r="C49" s="50">
        <f>IF(AND(C16=K6,C41&lt;6),(C41-1.22)/(C41-1.35),1)</f>
        <v>1</v>
      </c>
      <c r="D49" s="20"/>
      <c r="E49" s="176" t="s">
        <v>80</v>
      </c>
      <c r="F49" s="177"/>
      <c r="G49" s="177"/>
      <c r="H49" s="177"/>
      <c r="I49" s="177"/>
    </row>
    <row r="50" spans="1:9" ht="4.5" customHeight="1">
      <c r="A50" s="29"/>
      <c r="B50" s="37"/>
      <c r="C50" s="38"/>
      <c r="D50" s="20"/>
      <c r="E50" s="20"/>
      <c r="F50" s="20"/>
      <c r="G50" s="20"/>
      <c r="H50" s="20"/>
      <c r="I50" s="26"/>
    </row>
    <row r="51" spans="1:13" ht="12.75" customHeight="1">
      <c r="A51" s="29"/>
      <c r="B51" s="37" t="s">
        <v>79</v>
      </c>
      <c r="C51" s="50">
        <f>IF($C$16=$K$7,IF($B$64=$K$33,IF(AND($B$63=$K$31,$C$10&lt;12700),1,1.2),IF(B63=K30,1.4,1.2)),1)</f>
        <v>1</v>
      </c>
      <c r="D51" s="20"/>
      <c r="E51" s="176" t="s">
        <v>111</v>
      </c>
      <c r="F51" s="177"/>
      <c r="G51" s="177"/>
      <c r="H51" s="177"/>
      <c r="I51" s="177"/>
      <c r="K51" s="184" t="s">
        <v>107</v>
      </c>
      <c r="L51" s="184"/>
      <c r="M51" s="184"/>
    </row>
    <row r="52" spans="1:13" ht="4.5" customHeight="1">
      <c r="A52" s="29"/>
      <c r="B52" s="37"/>
      <c r="C52" s="38"/>
      <c r="D52" s="20"/>
      <c r="E52" s="20"/>
      <c r="F52" s="20"/>
      <c r="G52" s="20"/>
      <c r="H52" s="20"/>
      <c r="I52" s="26"/>
      <c r="K52" s="184"/>
      <c r="L52" s="184"/>
      <c r="M52" s="184"/>
    </row>
    <row r="53" spans="1:13" ht="12.75">
      <c r="A53" s="185" t="s">
        <v>84</v>
      </c>
      <c r="B53" s="185"/>
      <c r="C53" s="185"/>
      <c r="K53" s="184"/>
      <c r="L53" s="184"/>
      <c r="M53" s="184"/>
    </row>
    <row r="54" spans="1:13" ht="12.75" customHeight="1">
      <c r="A54" s="29"/>
      <c r="B54" s="29"/>
      <c r="C54" s="53">
        <f>C14*C23*C26*C38*C43*C45*C47*C49*C51</f>
        <v>8232.994958212352</v>
      </c>
      <c r="D54" s="22" t="s">
        <v>7</v>
      </c>
      <c r="E54" s="177" t="s">
        <v>132</v>
      </c>
      <c r="F54" s="177"/>
      <c r="G54" s="177"/>
      <c r="H54" s="177"/>
      <c r="I54" s="177"/>
      <c r="K54" s="184"/>
      <c r="L54" s="184"/>
      <c r="M54" s="184"/>
    </row>
    <row r="55" spans="1:13" ht="3" customHeight="1">
      <c r="A55" s="29"/>
      <c r="B55" s="29"/>
      <c r="C55" s="23"/>
      <c r="K55" s="56" t="str">
        <f>IF($C$25=$K$11,"N/A",50%)</f>
        <v>N/A</v>
      </c>
      <c r="L55">
        <v>1.035</v>
      </c>
      <c r="M55" s="2">
        <v>0.5</v>
      </c>
    </row>
    <row r="56" spans="2:13" ht="16.5" customHeight="1">
      <c r="B56" s="172" t="s">
        <v>112</v>
      </c>
      <c r="C56" s="172"/>
      <c r="K56" s="56" t="str">
        <f>IF($C$25=$K$11," ",60%)</f>
        <v> </v>
      </c>
      <c r="L56">
        <v>1.05</v>
      </c>
      <c r="M56" s="2">
        <v>0.6</v>
      </c>
    </row>
    <row r="57" spans="2:13" ht="11.25" customHeight="1">
      <c r="B57" s="21" t="s">
        <v>83</v>
      </c>
      <c r="C57" s="23">
        <f>76.63/($C$32)^0.5</f>
        <v>16.966167169734376</v>
      </c>
      <c r="D57" s="7" t="s">
        <v>16</v>
      </c>
      <c r="E57" s="177" t="s">
        <v>115</v>
      </c>
      <c r="F57" s="177"/>
      <c r="G57" s="177"/>
      <c r="H57" s="177"/>
      <c r="I57" s="177"/>
      <c r="K57" s="56" t="str">
        <f>IF($C$25=$K$11," ",70%)</f>
        <v> </v>
      </c>
      <c r="L57">
        <v>1.1</v>
      </c>
      <c r="M57" s="2">
        <v>0.7</v>
      </c>
    </row>
    <row r="58" spans="2:13" ht="12.75">
      <c r="B58" s="21" t="s">
        <v>113</v>
      </c>
      <c r="C58" s="57">
        <f>IF(C16=K6,1.305*VLOOKUP(C32,'Moinho de Bolas'!P3:Q36,2,TRUE)*(($C$32)^0.5),1.305*VLOOKUP(C32,'Moinho de Barras'!O3:P22,2,TRUE)*(($C$32)^0.5))</f>
        <v>67.78341351318917</v>
      </c>
      <c r="D58" s="7" t="s">
        <v>114</v>
      </c>
      <c r="E58" s="177" t="s">
        <v>116</v>
      </c>
      <c r="F58" s="177"/>
      <c r="G58" s="177"/>
      <c r="H58" s="177"/>
      <c r="I58" s="177"/>
      <c r="K58" s="56" t="str">
        <f>IF($C$25=$K$11," ",80%)</f>
        <v> </v>
      </c>
      <c r="L58">
        <v>1.2</v>
      </c>
      <c r="M58" s="2">
        <v>0.8</v>
      </c>
    </row>
    <row r="59" spans="2:13" ht="12.75">
      <c r="B59" s="21" t="s">
        <v>117</v>
      </c>
      <c r="C59" s="23">
        <f>C57*C58/100</f>
        <v>11.500247249999997</v>
      </c>
      <c r="D59" s="7" t="s">
        <v>16</v>
      </c>
      <c r="E59" s="177" t="s">
        <v>118</v>
      </c>
      <c r="F59" s="177"/>
      <c r="G59" s="177"/>
      <c r="H59" s="177"/>
      <c r="I59" s="177"/>
      <c r="K59" s="56" t="str">
        <f>IF($C$25=$K$11," ",90%)</f>
        <v> </v>
      </c>
      <c r="L59">
        <v>1.4</v>
      </c>
      <c r="M59" s="2">
        <v>0.9</v>
      </c>
    </row>
    <row r="60" spans="2:13" ht="5.25" customHeight="1">
      <c r="B60" s="120"/>
      <c r="C60" s="121"/>
      <c r="D60" s="16"/>
      <c r="E60" s="16"/>
      <c r="F60" s="16"/>
      <c r="G60" s="16"/>
      <c r="H60" s="16"/>
      <c r="I60" s="16"/>
      <c r="K60" s="56" t="str">
        <f>IF($C$25=$K$11," ",92%)</f>
        <v> </v>
      </c>
      <c r="L60">
        <v>1.46</v>
      </c>
      <c r="M60" s="2">
        <v>0.92</v>
      </c>
    </row>
    <row r="61" spans="2:13" ht="12.75">
      <c r="B61" s="186" t="s">
        <v>134</v>
      </c>
      <c r="C61" s="187"/>
      <c r="D61" s="187"/>
      <c r="E61" s="187"/>
      <c r="F61" s="187"/>
      <c r="G61" s="187"/>
      <c r="H61" s="187"/>
      <c r="I61" s="187"/>
      <c r="K61" s="56" t="str">
        <f>IF($C$25=$K$11," ",95%)</f>
        <v> </v>
      </c>
      <c r="L61">
        <v>1.57</v>
      </c>
      <c r="M61" s="2">
        <v>0.95</v>
      </c>
    </row>
    <row r="62" spans="2:13" ht="12.75">
      <c r="B62" s="183">
        <v>11.5</v>
      </c>
      <c r="C62" s="183"/>
      <c r="D62" s="183"/>
      <c r="E62" s="191" t="s">
        <v>211</v>
      </c>
      <c r="F62" s="191"/>
      <c r="G62" s="191"/>
      <c r="H62" s="191"/>
      <c r="I62" s="191"/>
      <c r="K62" s="56" t="str">
        <f>IF($C$25=$K$11," ",98%)</f>
        <v> </v>
      </c>
      <c r="L62">
        <v>1.7</v>
      </c>
      <c r="M62" s="2">
        <v>0.98</v>
      </c>
    </row>
    <row r="63" spans="2:9" ht="12.75">
      <c r="B63" s="182" t="s">
        <v>52</v>
      </c>
      <c r="C63" s="182"/>
      <c r="D63" s="182"/>
      <c r="E63" s="191" t="s">
        <v>87</v>
      </c>
      <c r="F63" s="191"/>
      <c r="G63" s="191"/>
      <c r="H63" s="191"/>
      <c r="I63" s="191"/>
    </row>
    <row r="64" spans="2:11" ht="12.75">
      <c r="B64" s="182" t="s">
        <v>85</v>
      </c>
      <c r="C64" s="182"/>
      <c r="D64" s="182"/>
      <c r="E64" s="191" t="s">
        <v>88</v>
      </c>
      <c r="F64" s="191"/>
      <c r="G64" s="191"/>
      <c r="H64" s="191"/>
      <c r="I64" s="191"/>
      <c r="K64" s="60"/>
    </row>
    <row r="65" spans="1:8" ht="12.75">
      <c r="A65" s="170" t="s">
        <v>91</v>
      </c>
      <c r="B65" s="170"/>
      <c r="C65" s="170"/>
      <c r="D65" s="170"/>
      <c r="E65" s="40"/>
      <c r="F65" s="40"/>
      <c r="G65" s="40"/>
      <c r="H65" s="40"/>
    </row>
    <row r="66" spans="1:3" ht="5.25" customHeight="1">
      <c r="A66" s="40"/>
      <c r="B66" s="40"/>
      <c r="C66" s="40"/>
    </row>
    <row r="67" spans="1:9" ht="12.75">
      <c r="A67" s="40"/>
      <c r="B67" s="19" t="s">
        <v>46</v>
      </c>
      <c r="C67" s="24">
        <f>C10</f>
        <v>5000</v>
      </c>
      <c r="D67" s="20" t="s">
        <v>183</v>
      </c>
      <c r="E67" s="176"/>
      <c r="F67" s="177"/>
      <c r="G67" s="177"/>
      <c r="H67" s="177"/>
      <c r="I67" s="177"/>
    </row>
    <row r="68" spans="1:16" ht="12.75">
      <c r="A68" s="40"/>
      <c r="B68" s="19" t="s">
        <v>99</v>
      </c>
      <c r="C68" s="24">
        <f>VLOOKUP(E68,L70:M75,2,FALSE)</f>
        <v>350</v>
      </c>
      <c r="D68" s="26"/>
      <c r="E68" s="214" t="s">
        <v>123</v>
      </c>
      <c r="F68" s="215"/>
      <c r="G68" s="215"/>
      <c r="H68" s="215"/>
      <c r="I68" s="215"/>
      <c r="L68" s="181" t="s">
        <v>120</v>
      </c>
      <c r="M68" s="181"/>
      <c r="N68" s="181"/>
      <c r="P68" s="7" t="s">
        <v>129</v>
      </c>
    </row>
    <row r="69" spans="1:16" ht="12.75">
      <c r="A69" s="40"/>
      <c r="B69" s="44" t="s">
        <v>93</v>
      </c>
      <c r="C69" s="113">
        <v>4</v>
      </c>
      <c r="D69" s="43" t="s">
        <v>95</v>
      </c>
      <c r="E69" s="192" t="s">
        <v>94</v>
      </c>
      <c r="F69" s="192"/>
      <c r="G69" s="192"/>
      <c r="H69" s="192"/>
      <c r="I69" s="177"/>
      <c r="L69" s="7" t="s">
        <v>128</v>
      </c>
      <c r="M69" s="7" t="s">
        <v>121</v>
      </c>
      <c r="N69" s="7" t="s">
        <v>119</v>
      </c>
      <c r="P69" s="7">
        <f>((C67/C68)^0.5)*(((C69*C70)/(C71*((C72)^0.5)))^0.3333)</f>
        <v>2.24330051883258</v>
      </c>
    </row>
    <row r="70" spans="1:13" ht="12.75">
      <c r="A70" s="40"/>
      <c r="B70" s="19" t="s">
        <v>53</v>
      </c>
      <c r="C70" s="50">
        <f>IF(D12=N11,C12/1.102,C12)</f>
        <v>16</v>
      </c>
      <c r="D70" s="26" t="s">
        <v>3</v>
      </c>
      <c r="E70" s="176" t="s">
        <v>59</v>
      </c>
      <c r="F70" s="177"/>
      <c r="G70" s="177"/>
      <c r="H70" s="177"/>
      <c r="I70" s="177"/>
      <c r="L70" s="7" t="s">
        <v>122</v>
      </c>
      <c r="M70" s="7">
        <v>350</v>
      </c>
    </row>
    <row r="71" spans="1:16" ht="12.75">
      <c r="A71" s="40"/>
      <c r="B71" s="44" t="s">
        <v>96</v>
      </c>
      <c r="C71" s="55">
        <f>C58</f>
        <v>67.78341351318917</v>
      </c>
      <c r="D71" s="43" t="s">
        <v>114</v>
      </c>
      <c r="E71" s="192" t="s">
        <v>97</v>
      </c>
      <c r="F71" s="192"/>
      <c r="G71" s="192"/>
      <c r="H71" s="192"/>
      <c r="I71" s="177"/>
      <c r="L71" s="7" t="s">
        <v>123</v>
      </c>
      <c r="M71" s="7">
        <v>350</v>
      </c>
      <c r="P71" s="7" t="s">
        <v>130</v>
      </c>
    </row>
    <row r="72" spans="2:16" ht="12.75">
      <c r="B72" s="44" t="s">
        <v>98</v>
      </c>
      <c r="C72" s="52">
        <f>C32</f>
        <v>20.4</v>
      </c>
      <c r="D72" s="7" t="s">
        <v>8</v>
      </c>
      <c r="E72" s="177" t="s">
        <v>70</v>
      </c>
      <c r="F72" s="177"/>
      <c r="G72" s="177"/>
      <c r="H72" s="177"/>
      <c r="I72" s="177"/>
      <c r="L72" s="45" t="s">
        <v>124</v>
      </c>
      <c r="M72" s="7">
        <v>330</v>
      </c>
      <c r="P72" s="7">
        <f>((C67^0.75)/160)*(((C69*C70)/(C71*((C72)^0.5)))^0.5)</f>
        <v>1.6991364161837927</v>
      </c>
    </row>
    <row r="73" spans="1:13" ht="12.75">
      <c r="A73" s="40"/>
      <c r="B73" s="44" t="str">
        <f>IF(C16=K6,"B=","R=")</f>
        <v>B=</v>
      </c>
      <c r="C73" s="55">
        <f>IF(C16=K6,P69,P72)</f>
        <v>2.24330051883258</v>
      </c>
      <c r="D73" s="43" t="s">
        <v>92</v>
      </c>
      <c r="E73" s="192" t="str">
        <f>IF(C16=K6,"Diâmetro das bolas","Diâmetro das barras")</f>
        <v>Diâmetro das bolas</v>
      </c>
      <c r="F73" s="177"/>
      <c r="G73" s="177"/>
      <c r="H73" s="177"/>
      <c r="I73" s="177"/>
      <c r="L73" s="7" t="s">
        <v>125</v>
      </c>
      <c r="M73" s="7">
        <v>330</v>
      </c>
    </row>
    <row r="74" spans="1:13" ht="6" customHeight="1">
      <c r="A74" s="40"/>
      <c r="B74" s="44"/>
      <c r="C74" s="55"/>
      <c r="D74" s="43"/>
      <c r="E74" s="108"/>
      <c r="F74" s="61"/>
      <c r="G74" s="61"/>
      <c r="H74" s="61"/>
      <c r="I74" s="61"/>
      <c r="L74" s="7" t="s">
        <v>126</v>
      </c>
      <c r="M74" s="7">
        <v>335</v>
      </c>
    </row>
    <row r="75" spans="1:13" ht="12.75">
      <c r="A75" s="40"/>
      <c r="B75" s="44"/>
      <c r="C75" s="55"/>
      <c r="D75" s="43"/>
      <c r="E75" s="108"/>
      <c r="F75" s="49"/>
      <c r="G75" s="152" t="s">
        <v>187</v>
      </c>
      <c r="H75" s="116">
        <v>0.4</v>
      </c>
      <c r="L75" s="7" t="s">
        <v>127</v>
      </c>
      <c r="M75" s="7">
        <v>335</v>
      </c>
    </row>
    <row r="76" spans="2:9" ht="12.75">
      <c r="B76" s="43"/>
      <c r="C76" s="43"/>
      <c r="D76" s="43"/>
      <c r="E76" s="43"/>
      <c r="F76" s="43"/>
      <c r="G76" s="153" t="s">
        <v>199</v>
      </c>
      <c r="H76" s="116">
        <v>4500</v>
      </c>
      <c r="I76" s="24" t="s">
        <v>193</v>
      </c>
    </row>
    <row r="77" spans="1:6" ht="12.75">
      <c r="A77" s="46" t="s">
        <v>101</v>
      </c>
      <c r="B77" s="16"/>
      <c r="C77" s="30"/>
      <c r="D77" s="30"/>
      <c r="E77" s="30"/>
      <c r="F77" s="30"/>
    </row>
    <row r="78" spans="1:9" ht="12.75">
      <c r="A78" s="49" t="s">
        <v>102</v>
      </c>
      <c r="B78" s="24">
        <f>C31</f>
        <v>21</v>
      </c>
      <c r="C78" s="16" t="s">
        <v>8</v>
      </c>
      <c r="D78" s="38">
        <f>C31*12*0.0254</f>
        <v>6.400799999999999</v>
      </c>
      <c r="E78" s="30" t="s">
        <v>2</v>
      </c>
      <c r="F78" s="38"/>
      <c r="G78" s="150" t="s">
        <v>186</v>
      </c>
      <c r="H78" s="151" t="str">
        <f>IF(C16=K7,"barras","bolas")</f>
        <v>bolas</v>
      </c>
      <c r="I78" s="30"/>
    </row>
    <row r="79" spans="1:9" ht="12.75">
      <c r="A79" s="49" t="s">
        <v>103</v>
      </c>
      <c r="B79" s="38">
        <f>C33</f>
        <v>29.660368642287892</v>
      </c>
      <c r="C79" s="16" t="s">
        <v>8</v>
      </c>
      <c r="D79" s="38">
        <f>C33*12*0.0254</f>
        <v>9.04048036216935</v>
      </c>
      <c r="E79" s="30" t="s">
        <v>2</v>
      </c>
      <c r="F79" s="38"/>
      <c r="G79" s="155" t="str">
        <f>IF(C16=K7,"Consumo de barras:","Consumo de bolas: ")</f>
        <v>Consumo de bolas: </v>
      </c>
      <c r="H79" s="38">
        <f>'Consumo e Desgaste do Moinho'!D16</f>
        <v>3125.182072193768</v>
      </c>
      <c r="I79" s="24" t="s">
        <v>195</v>
      </c>
    </row>
    <row r="80" spans="1:9" ht="12.75">
      <c r="A80" s="49" t="s">
        <v>104</v>
      </c>
      <c r="B80" s="47">
        <f>C54</f>
        <v>8232.994958212352</v>
      </c>
      <c r="C80" s="16" t="s">
        <v>7</v>
      </c>
      <c r="D80" s="47">
        <f>C54/1.341</f>
        <v>6139.444413282888</v>
      </c>
      <c r="E80" s="30" t="s">
        <v>184</v>
      </c>
      <c r="F80" s="47"/>
      <c r="G80" s="155" t="s">
        <v>197</v>
      </c>
      <c r="H80" s="211">
        <f>'Consumo e Desgaste do Moinho'!D17</f>
        <v>240.67877560547663</v>
      </c>
      <c r="I80" s="212" t="s">
        <v>195</v>
      </c>
    </row>
    <row r="81" spans="1:13" ht="12.75">
      <c r="A81" s="19" t="str">
        <f>IF(C16=K6,"Ø das bolas=","Ø das barras=")</f>
        <v>Ø das bolas=</v>
      </c>
      <c r="B81" s="47">
        <f>C73</f>
        <v>2.24330051883258</v>
      </c>
      <c r="C81" s="16" t="s">
        <v>92</v>
      </c>
      <c r="D81" s="25">
        <f>C73*25.4</f>
        <v>56.97983317834753</v>
      </c>
      <c r="E81" s="16" t="s">
        <v>100</v>
      </c>
      <c r="F81" s="25"/>
      <c r="G81" s="158" t="s">
        <v>198</v>
      </c>
      <c r="H81" s="181"/>
      <c r="I81" s="213"/>
      <c r="L81" s="21" t="s">
        <v>207</v>
      </c>
      <c r="M81" s="7" t="str">
        <f>'Modo de usar a planilha'!S18</f>
        <v>Sim</v>
      </c>
    </row>
    <row r="82" spans="3:13" ht="14.25" customHeight="1">
      <c r="C82" s="41"/>
      <c r="D82" s="30"/>
      <c r="E82" s="30"/>
      <c r="F82" s="30"/>
      <c r="G82" s="30"/>
      <c r="H82" s="30"/>
      <c r="M82" t="s">
        <v>85</v>
      </c>
    </row>
    <row r="83" spans="3:13" ht="12.75">
      <c r="C83" s="42"/>
      <c r="D83" s="30"/>
      <c r="E83" s="30"/>
      <c r="F83" s="30"/>
      <c r="G83" s="30"/>
      <c r="H83" s="30"/>
      <c r="M83" t="s">
        <v>86</v>
      </c>
    </row>
    <row r="84" ht="12.75">
      <c r="C84" s="28"/>
    </row>
    <row r="86" ht="12.75">
      <c r="I86" s="45"/>
    </row>
  </sheetData>
  <sheetProtection password="8E6E" sheet="1" objects="1" scenarios="1" selectLockedCells="1"/>
  <mergeCells count="64">
    <mergeCell ref="D1:I3"/>
    <mergeCell ref="A1:C3"/>
    <mergeCell ref="H80:H81"/>
    <mergeCell ref="I80:I81"/>
    <mergeCell ref="E67:I67"/>
    <mergeCell ref="E68:I68"/>
    <mergeCell ref="E73:I73"/>
    <mergeCell ref="E58:I58"/>
    <mergeCell ref="E72:I72"/>
    <mergeCell ref="E59:I59"/>
    <mergeCell ref="E62:I62"/>
    <mergeCell ref="E63:I63"/>
    <mergeCell ref="E64:I64"/>
    <mergeCell ref="E69:I69"/>
    <mergeCell ref="E70:I70"/>
    <mergeCell ref="E71:I71"/>
    <mergeCell ref="E45:I45"/>
    <mergeCell ref="E47:I47"/>
    <mergeCell ref="E49:I49"/>
    <mergeCell ref="E51:I51"/>
    <mergeCell ref="E54:I54"/>
    <mergeCell ref="E57:I57"/>
    <mergeCell ref="E33:I33"/>
    <mergeCell ref="E34:I34"/>
    <mergeCell ref="E38:I38"/>
    <mergeCell ref="E41:I41"/>
    <mergeCell ref="E42:I42"/>
    <mergeCell ref="E43:I43"/>
    <mergeCell ref="E14:I14"/>
    <mergeCell ref="E16:I16"/>
    <mergeCell ref="E17:I17"/>
    <mergeCell ref="E28:I28"/>
    <mergeCell ref="E31:I31"/>
    <mergeCell ref="E32:I32"/>
    <mergeCell ref="A53:C53"/>
    <mergeCell ref="A40:D40"/>
    <mergeCell ref="E18:I18"/>
    <mergeCell ref="B61:I61"/>
    <mergeCell ref="E5:I5"/>
    <mergeCell ref="E6:I6"/>
    <mergeCell ref="E8:I8"/>
    <mergeCell ref="E12:I12"/>
    <mergeCell ref="D7:I7"/>
    <mergeCell ref="E13:I13"/>
    <mergeCell ref="A9:B9"/>
    <mergeCell ref="A6:B6"/>
    <mergeCell ref="A7:B7"/>
    <mergeCell ref="A21:B21"/>
    <mergeCell ref="L68:N68"/>
    <mergeCell ref="A18:B18"/>
    <mergeCell ref="B63:D63"/>
    <mergeCell ref="B62:D62"/>
    <mergeCell ref="B64:D64"/>
    <mergeCell ref="K51:M54"/>
    <mergeCell ref="A65:D65"/>
    <mergeCell ref="A30:D30"/>
    <mergeCell ref="B56:C56"/>
    <mergeCell ref="A16:B16"/>
    <mergeCell ref="A27:I27"/>
    <mergeCell ref="A25:B25"/>
    <mergeCell ref="A22:B22"/>
    <mergeCell ref="A17:B17"/>
    <mergeCell ref="E23:I23"/>
    <mergeCell ref="E26:I26"/>
  </mergeCells>
  <conditionalFormatting sqref="B62:D64">
    <cfRule type="expression" priority="1" dxfId="2" stopIfTrue="1">
      <formula>$C$16=$K$7</formula>
    </cfRule>
  </conditionalFormatting>
  <conditionalFormatting sqref="B61:I61 E62:I64">
    <cfRule type="expression" priority="2" dxfId="1" stopIfTrue="1">
      <formula>$C$16=$K$7</formula>
    </cfRule>
  </conditionalFormatting>
  <conditionalFormatting sqref="F75:G81 I75:I81 H77:H81">
    <cfRule type="expression" priority="3" dxfId="4" stopIfTrue="1">
      <formula>$M$81=$M$83</formula>
    </cfRule>
  </conditionalFormatting>
  <conditionalFormatting sqref="H75:H76">
    <cfRule type="expression" priority="4" dxfId="3" stopIfTrue="1">
      <formula>$M$81=$M$83</formula>
    </cfRule>
  </conditionalFormatting>
  <dataValidations count="10">
    <dataValidation type="list" allowBlank="1" showInputMessage="1" showErrorMessage="1" sqref="E68">
      <formula1>moinhocircuito</formula1>
    </dataValidation>
    <dataValidation type="list" showInputMessage="1" showErrorMessage="1" sqref="B64">
      <formula1>$K$33:$K$37</formula1>
    </dataValidation>
    <dataValidation type="list" allowBlank="1" showInputMessage="1" showErrorMessage="1" sqref="B63">
      <formula1>$K$30:$K$31</formula1>
    </dataValidation>
    <dataValidation type="list" allowBlank="1" showInputMessage="1" showErrorMessage="1" sqref="C18">
      <formula1>$K$46:$K$47</formula1>
    </dataValidation>
    <dataValidation type="list" showInputMessage="1" showErrorMessage="1" sqref="C25">
      <formula1>$K$10:$K$11</formula1>
    </dataValidation>
    <dataValidation type="list" showInputMessage="1" showErrorMessage="1" sqref="C22">
      <formula1>$K$13:$K$14</formula1>
    </dataValidation>
    <dataValidation type="list" showInputMessage="1" showErrorMessage="1" sqref="C16">
      <formula1>$K$6:$K$7</formula1>
    </dataValidation>
    <dataValidation type="list" allowBlank="1" showInputMessage="1" showErrorMessage="1" sqref="C28">
      <formula1>refcontrole</formula1>
    </dataValidation>
    <dataValidation type="list" allowBlank="1" showInputMessage="1" showErrorMessage="1" sqref="D12">
      <formula1>unidcons</formula1>
    </dataValidation>
    <dataValidation type="list" allowBlank="1" showInputMessage="1" showErrorMessage="1" sqref="C31">
      <formula1>dianom</formula1>
    </dataValidation>
  </dataValidations>
  <printOptions/>
  <pageMargins left="0.5905511811023623" right="0.4724409448818898" top="0.15748031496062992" bottom="0.15748031496062992" header="0.07874015748031496" footer="0.15748031496062992"/>
  <pageSetup horizontalDpi="600" verticalDpi="600" orientation="portrait" paperSize="9" scale="85" r:id="rId5"/>
  <drawing r:id="rId3"/>
  <legacyDrawing r:id="rId2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P84"/>
  <sheetViews>
    <sheetView showGridLines="0" view="pageBreakPreview" zoomScaleNormal="115"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1" width="15.140625" style="7" customWidth="1"/>
    <col min="2" max="2" width="9.140625" style="7" customWidth="1"/>
    <col min="3" max="3" width="12.8515625" style="7" customWidth="1"/>
    <col min="4" max="4" width="11.57421875" style="7" bestFit="1" customWidth="1"/>
    <col min="5" max="9" width="9.421875" style="7" customWidth="1"/>
    <col min="10" max="10" width="2.421875" style="7" customWidth="1"/>
    <col min="11" max="11" width="10.140625" style="7" customWidth="1"/>
    <col min="12" max="12" width="30.28125" style="7" bestFit="1" customWidth="1"/>
    <col min="13" max="16384" width="9.140625" style="7" customWidth="1"/>
  </cols>
  <sheetData>
    <row r="1" spans="1:9" ht="9.75" customHeight="1">
      <c r="A1" s="202"/>
      <c r="B1" s="203"/>
      <c r="C1" s="204"/>
      <c r="D1" s="193" t="s">
        <v>136</v>
      </c>
      <c r="E1" s="194"/>
      <c r="F1" s="194"/>
      <c r="G1" s="194"/>
      <c r="H1" s="194"/>
      <c r="I1" s="195"/>
    </row>
    <row r="2" spans="1:9" ht="9.75" customHeight="1">
      <c r="A2" s="205"/>
      <c r="B2" s="206"/>
      <c r="C2" s="207"/>
      <c r="D2" s="196"/>
      <c r="E2" s="197"/>
      <c r="F2" s="197"/>
      <c r="G2" s="197"/>
      <c r="H2" s="197"/>
      <c r="I2" s="198"/>
    </row>
    <row r="3" spans="1:9" ht="9.75" customHeight="1">
      <c r="A3" s="208"/>
      <c r="B3" s="209"/>
      <c r="C3" s="210"/>
      <c r="D3" s="199"/>
      <c r="E3" s="200"/>
      <c r="F3" s="200"/>
      <c r="G3" s="200"/>
      <c r="H3" s="200"/>
      <c r="I3" s="201"/>
    </row>
    <row r="4" spans="1:9" ht="3.75" customHeight="1">
      <c r="A4" s="48"/>
      <c r="B4" s="48"/>
      <c r="C4" s="48"/>
      <c r="D4" s="48"/>
      <c r="E4" s="48"/>
      <c r="F4" s="48"/>
      <c r="G4" s="48"/>
      <c r="H4" s="48"/>
      <c r="I4" s="48"/>
    </row>
    <row r="5" spans="1:11" ht="12.75">
      <c r="A5" s="30"/>
      <c r="B5" s="37"/>
      <c r="C5" s="125"/>
      <c r="D5" s="126"/>
      <c r="E5" s="141"/>
      <c r="F5" s="141"/>
      <c r="G5" s="141"/>
      <c r="H5" s="141"/>
      <c r="I5" s="141"/>
      <c r="K5" s="31" t="s">
        <v>4</v>
      </c>
    </row>
    <row r="6" spans="1:11" ht="12.75">
      <c r="A6" s="37"/>
      <c r="B6" s="37"/>
      <c r="C6" s="127"/>
      <c r="D6" s="126"/>
      <c r="E6" s="141"/>
      <c r="F6" s="141"/>
      <c r="G6" s="141"/>
      <c r="H6" s="141"/>
      <c r="I6" s="141"/>
      <c r="K6" s="32" t="s">
        <v>47</v>
      </c>
    </row>
    <row r="7" spans="1:11" ht="12.75">
      <c r="A7" s="126"/>
      <c r="B7" s="126"/>
      <c r="C7" s="125"/>
      <c r="D7" s="141"/>
      <c r="E7" s="141"/>
      <c r="F7" s="141"/>
      <c r="G7" s="141"/>
      <c r="H7" s="141"/>
      <c r="I7" s="141"/>
      <c r="K7" s="32" t="s">
        <v>48</v>
      </c>
    </row>
    <row r="8" spans="1:9" ht="12.75">
      <c r="A8" s="30"/>
      <c r="B8" s="150" t="s">
        <v>186</v>
      </c>
      <c r="C8" s="151" t="str">
        <f>IF('Dimensionamento de Moinhos'!C16='Dimensionamento de Moinhos'!K7,"barras","bolas")</f>
        <v>bolas</v>
      </c>
      <c r="D8" s="24"/>
      <c r="E8" s="36"/>
      <c r="F8" s="36"/>
      <c r="G8" s="36"/>
      <c r="H8" s="36"/>
      <c r="I8" s="36"/>
    </row>
    <row r="9" spans="1:14" ht="12.75">
      <c r="A9" s="142"/>
      <c r="B9" s="142"/>
      <c r="C9" s="30"/>
      <c r="D9" s="24"/>
      <c r="E9" s="24"/>
      <c r="F9" s="24"/>
      <c r="G9" s="24"/>
      <c r="H9" s="24"/>
      <c r="I9" s="30"/>
      <c r="K9" s="31" t="s">
        <v>5</v>
      </c>
      <c r="N9" s="7" t="s">
        <v>105</v>
      </c>
    </row>
    <row r="10" spans="1:14" ht="12.75">
      <c r="A10" s="30"/>
      <c r="B10" s="49"/>
      <c r="C10" s="152" t="s">
        <v>187</v>
      </c>
      <c r="D10" s="24">
        <f>'Dimensionamento de Moinhos'!H75</f>
        <v>0.4</v>
      </c>
      <c r="E10" s="24"/>
      <c r="F10" s="24"/>
      <c r="G10" s="24"/>
      <c r="H10" s="24"/>
      <c r="I10" s="30"/>
      <c r="K10" s="32" t="s">
        <v>49</v>
      </c>
      <c r="N10" s="7" t="s">
        <v>3</v>
      </c>
    </row>
    <row r="11" spans="1:14" ht="12.75">
      <c r="A11" s="30"/>
      <c r="B11" s="49"/>
      <c r="C11" s="152" t="s">
        <v>188</v>
      </c>
      <c r="D11" s="47">
        <f>'Dimensionamento de Moinhos'!D80</f>
        <v>6139.444413282888</v>
      </c>
      <c r="E11" s="24" t="s">
        <v>184</v>
      </c>
      <c r="F11" s="24"/>
      <c r="G11" s="24"/>
      <c r="H11" s="24"/>
      <c r="I11" s="30"/>
      <c r="K11" s="32" t="s">
        <v>50</v>
      </c>
      <c r="N11" s="7" t="s">
        <v>106</v>
      </c>
    </row>
    <row r="12" spans="1:11" ht="12.75">
      <c r="A12" s="30"/>
      <c r="B12" s="49"/>
      <c r="C12" s="153" t="s">
        <v>192</v>
      </c>
      <c r="D12" s="24">
        <f>'Dimensionamento de Moinhos'!H76</f>
        <v>4500</v>
      </c>
      <c r="E12" s="24" t="s">
        <v>193</v>
      </c>
      <c r="F12" s="36"/>
      <c r="G12" s="36"/>
      <c r="H12" s="36"/>
      <c r="I12" s="36"/>
      <c r="K12" s="31" t="s">
        <v>6</v>
      </c>
    </row>
    <row r="13" spans="1:11" ht="12.75">
      <c r="A13" s="29"/>
      <c r="B13" s="54"/>
      <c r="C13" s="154"/>
      <c r="D13" s="53">
        <f>D12*D11</f>
        <v>27627499.859772995</v>
      </c>
      <c r="E13" s="52" t="s">
        <v>194</v>
      </c>
      <c r="F13" s="135"/>
      <c r="G13" s="135"/>
      <c r="H13" s="135"/>
      <c r="I13" s="135"/>
      <c r="K13" s="32" t="s">
        <v>57</v>
      </c>
    </row>
    <row r="14" spans="1:11" ht="12.75">
      <c r="A14" s="129"/>
      <c r="B14" s="130"/>
      <c r="C14" s="155"/>
      <c r="D14" s="131"/>
      <c r="E14" s="143"/>
      <c r="F14" s="143"/>
      <c r="G14" s="143"/>
      <c r="H14" s="143"/>
      <c r="I14" s="143"/>
      <c r="K14" s="32" t="s">
        <v>58</v>
      </c>
    </row>
    <row r="15" spans="1:9" ht="4.5" customHeight="1">
      <c r="A15" s="29"/>
      <c r="B15" s="54"/>
      <c r="C15" s="154"/>
      <c r="D15" s="52"/>
      <c r="E15" s="52"/>
      <c r="F15" s="52"/>
      <c r="G15" s="52"/>
      <c r="H15" s="52"/>
      <c r="I15" s="29"/>
    </row>
    <row r="16" spans="1:9" ht="12.75">
      <c r="A16" s="49"/>
      <c r="B16" s="49"/>
      <c r="C16" s="155" t="str">
        <f>IF('Dimensionamento de Moinhos'!C16='Dimensionamento de Moinhos'!K7,"Consumo de barras:","Consumo de bolas: ")</f>
        <v>Consumo de bolas: </v>
      </c>
      <c r="D16" s="38">
        <f>IF('Dimensionamento de Moinhos'!C16='Dimensionamento de Moinhos'!K7,155*(D10-0.02)^0.2,IF('Dimensionamento de Moinhos'!C22='Dimensionamento de Moinhos'!K13,155*(D10-0.015)^0.33,22.2*D10^0.5))*D13/1000000</f>
        <v>3125.182072193768</v>
      </c>
      <c r="E16" s="24" t="s">
        <v>195</v>
      </c>
      <c r="F16" s="36"/>
      <c r="G16" s="36"/>
      <c r="H16" s="36"/>
      <c r="I16" s="36"/>
    </row>
    <row r="17" spans="1:11" ht="12.75" customHeight="1">
      <c r="A17" s="54"/>
      <c r="B17" s="54"/>
      <c r="C17" s="155" t="s">
        <v>196</v>
      </c>
      <c r="D17" s="38">
        <f>IF('Dimensionamento de Moinhos'!C16='Dimensionamento de Moinhos'!K7,15.5*(D10-0.015)^0.3,IF('Dimensionamento de Moinhos'!C22='Dimensionamento de Moinhos'!K13,11.6*(D10-0.015)^0.3,2.22*D10^0.5))*D13/1000000</f>
        <v>240.67877560547663</v>
      </c>
      <c r="E17" s="24" t="s">
        <v>195</v>
      </c>
      <c r="F17" s="36"/>
      <c r="G17" s="36"/>
      <c r="H17" s="36"/>
      <c r="I17" s="36"/>
      <c r="K17" s="32"/>
    </row>
    <row r="18" spans="1:11" ht="12.75" customHeight="1">
      <c r="A18" s="49"/>
      <c r="B18" s="49"/>
      <c r="C18" s="156"/>
      <c r="D18" s="30"/>
      <c r="E18" s="36"/>
      <c r="F18" s="36"/>
      <c r="G18" s="36"/>
      <c r="H18" s="36"/>
      <c r="I18" s="36"/>
      <c r="K18" s="32"/>
    </row>
    <row r="19" spans="1:9" ht="3" customHeight="1">
      <c r="A19" s="29"/>
      <c r="B19" s="29"/>
      <c r="C19" s="54"/>
      <c r="D19" s="29"/>
      <c r="E19" s="29"/>
      <c r="F19" s="29"/>
      <c r="G19" s="29"/>
      <c r="H19" s="29"/>
      <c r="I19" s="29"/>
    </row>
    <row r="20" spans="1:9" ht="4.5" customHeight="1">
      <c r="A20" s="29"/>
      <c r="B20" s="29"/>
      <c r="C20" s="54"/>
      <c r="D20" s="29"/>
      <c r="E20" s="29"/>
      <c r="F20" s="29"/>
      <c r="G20" s="29"/>
      <c r="H20" s="29"/>
      <c r="I20" s="29"/>
    </row>
    <row r="21" spans="1:11" ht="12.75" customHeight="1">
      <c r="A21" s="142"/>
      <c r="B21" s="142"/>
      <c r="C21" s="29"/>
      <c r="D21" s="29"/>
      <c r="E21" s="29"/>
      <c r="F21" s="29"/>
      <c r="G21" s="29"/>
      <c r="H21" s="29"/>
      <c r="I21" s="29"/>
      <c r="K21" s="31" t="s">
        <v>14</v>
      </c>
    </row>
    <row r="22" spans="1:11" ht="12.75">
      <c r="A22" s="49"/>
      <c r="B22" s="49"/>
      <c r="C22" s="128"/>
      <c r="D22" s="24"/>
      <c r="E22" s="24"/>
      <c r="F22" s="24"/>
      <c r="G22" s="24"/>
      <c r="H22" s="24"/>
      <c r="I22" s="30"/>
      <c r="K22" s="32"/>
    </row>
    <row r="23" spans="1:11" ht="12.75">
      <c r="A23" s="29"/>
      <c r="B23" s="37"/>
      <c r="C23" s="50"/>
      <c r="D23" s="24"/>
      <c r="E23" s="36"/>
      <c r="F23" s="36"/>
      <c r="G23" s="36"/>
      <c r="H23" s="36"/>
      <c r="I23" s="36"/>
      <c r="K23" s="32" t="s">
        <v>51</v>
      </c>
    </row>
    <row r="24" spans="1:11" ht="7.5" customHeight="1">
      <c r="A24" s="29"/>
      <c r="B24" s="37"/>
      <c r="C24" s="38"/>
      <c r="D24" s="24"/>
      <c r="E24" s="24"/>
      <c r="F24" s="24"/>
      <c r="G24" s="24"/>
      <c r="H24" s="24"/>
      <c r="I24" s="36"/>
      <c r="K24" s="32" t="s">
        <v>52</v>
      </c>
    </row>
    <row r="25" spans="1:11" ht="12.75">
      <c r="A25" s="49"/>
      <c r="B25" s="49"/>
      <c r="C25" s="128"/>
      <c r="D25" s="24"/>
      <c r="E25" s="24"/>
      <c r="F25" s="24"/>
      <c r="G25" s="24"/>
      <c r="H25" s="24"/>
      <c r="I25" s="30"/>
      <c r="K25" s="32"/>
    </row>
    <row r="26" spans="1:11" ht="12.75">
      <c r="A26" s="29"/>
      <c r="B26" s="37"/>
      <c r="C26" s="51"/>
      <c r="D26" s="24"/>
      <c r="E26" s="36"/>
      <c r="F26" s="36"/>
      <c r="G26" s="36"/>
      <c r="H26" s="36"/>
      <c r="I26" s="36"/>
      <c r="K26" s="32"/>
    </row>
    <row r="27" spans="1:9" ht="12.75">
      <c r="A27" s="144"/>
      <c r="B27" s="144"/>
      <c r="C27" s="144"/>
      <c r="D27" s="144"/>
      <c r="E27" s="144"/>
      <c r="F27" s="144"/>
      <c r="G27" s="144"/>
      <c r="H27" s="144"/>
      <c r="I27" s="144"/>
    </row>
    <row r="28" spans="1:9" ht="12.75">
      <c r="A28" s="29"/>
      <c r="B28" s="35"/>
      <c r="C28" s="132"/>
      <c r="D28" s="24"/>
      <c r="E28" s="36"/>
      <c r="F28" s="36"/>
      <c r="G28" s="36"/>
      <c r="H28" s="36"/>
      <c r="I28" s="36"/>
    </row>
    <row r="29" spans="2:11" s="29" customFormat="1" ht="7.5" customHeight="1">
      <c r="B29" s="35"/>
      <c r="C29" s="124"/>
      <c r="D29" s="24"/>
      <c r="E29" s="24"/>
      <c r="F29" s="24"/>
      <c r="G29" s="24"/>
      <c r="H29" s="24"/>
      <c r="I29" s="36"/>
      <c r="K29" s="31" t="s">
        <v>15</v>
      </c>
    </row>
    <row r="30" spans="1:11" ht="12.75">
      <c r="A30" s="133"/>
      <c r="B30" s="133"/>
      <c r="C30" s="133"/>
      <c r="D30" s="133"/>
      <c r="E30" s="133"/>
      <c r="F30" s="133"/>
      <c r="G30" s="133"/>
      <c r="H30" s="133"/>
      <c r="I30" s="36"/>
      <c r="K30" s="32" t="s">
        <v>51</v>
      </c>
    </row>
    <row r="31" spans="1:11" ht="12.75">
      <c r="A31" s="29"/>
      <c r="B31" s="29"/>
      <c r="C31" s="134"/>
      <c r="D31" s="29"/>
      <c r="E31" s="135"/>
      <c r="F31" s="135"/>
      <c r="G31" s="135"/>
      <c r="H31" s="135"/>
      <c r="I31" s="135"/>
      <c r="K31" s="32" t="s">
        <v>52</v>
      </c>
    </row>
    <row r="32" spans="1:9" ht="12.75">
      <c r="A32" s="29"/>
      <c r="B32" s="29"/>
      <c r="C32" s="52"/>
      <c r="D32" s="29"/>
      <c r="E32" s="135"/>
      <c r="F32" s="135"/>
      <c r="G32" s="135"/>
      <c r="H32" s="135"/>
      <c r="I32" s="135"/>
    </row>
    <row r="33" spans="1:11" ht="12.75">
      <c r="A33" s="29"/>
      <c r="B33" s="29"/>
      <c r="C33" s="57"/>
      <c r="D33" s="29"/>
      <c r="E33" s="135"/>
      <c r="F33" s="135"/>
      <c r="G33" s="135"/>
      <c r="H33" s="135"/>
      <c r="I33" s="135"/>
      <c r="K33" s="32" t="s">
        <v>85</v>
      </c>
    </row>
    <row r="34" spans="1:11" ht="12.75">
      <c r="A34" s="29"/>
      <c r="B34" s="29"/>
      <c r="C34" s="23"/>
      <c r="D34" s="29"/>
      <c r="E34" s="135"/>
      <c r="F34" s="135"/>
      <c r="G34" s="135"/>
      <c r="H34" s="135"/>
      <c r="I34" s="135"/>
      <c r="K34" s="32" t="s">
        <v>86</v>
      </c>
    </row>
    <row r="35" spans="1:11" ht="12.75">
      <c r="A35" s="29"/>
      <c r="B35" s="29"/>
      <c r="C35" s="112"/>
      <c r="D35" s="52"/>
      <c r="E35" s="135"/>
      <c r="F35" s="29"/>
      <c r="G35" s="29"/>
      <c r="H35" s="29"/>
      <c r="I35" s="29"/>
      <c r="K35" s="32"/>
    </row>
    <row r="36" spans="1:11" ht="12.75">
      <c r="A36" s="29"/>
      <c r="B36" s="29"/>
      <c r="C36" s="29"/>
      <c r="D36" s="29"/>
      <c r="E36" s="54"/>
      <c r="F36" s="52"/>
      <c r="G36" s="29"/>
      <c r="H36" s="135"/>
      <c r="I36" s="135"/>
      <c r="K36" s="32"/>
    </row>
    <row r="37" spans="1:11" ht="3.75" customHeight="1">
      <c r="A37" s="29"/>
      <c r="B37" s="29"/>
      <c r="C37" s="57"/>
      <c r="D37" s="29"/>
      <c r="E37" s="29"/>
      <c r="F37" s="29"/>
      <c r="G37" s="29"/>
      <c r="H37" s="29"/>
      <c r="I37" s="29"/>
      <c r="K37" s="32"/>
    </row>
    <row r="38" spans="1:9" ht="12.75" customHeight="1">
      <c r="A38" s="29"/>
      <c r="B38" s="37"/>
      <c r="C38" s="50"/>
      <c r="D38" s="24"/>
      <c r="E38" s="36"/>
      <c r="F38" s="36"/>
      <c r="G38" s="36"/>
      <c r="H38" s="36"/>
      <c r="I38" s="36"/>
    </row>
    <row r="39" spans="1:11" ht="4.5" customHeight="1">
      <c r="A39" s="29"/>
      <c r="B39" s="37"/>
      <c r="C39" s="50"/>
      <c r="D39" s="24"/>
      <c r="E39" s="24"/>
      <c r="F39" s="24"/>
      <c r="G39" s="24"/>
      <c r="H39" s="24"/>
      <c r="I39" s="36"/>
      <c r="K39" s="30"/>
    </row>
    <row r="40" spans="1:11" ht="12.75" customHeight="1">
      <c r="A40" s="133"/>
      <c r="B40" s="133"/>
      <c r="C40" s="133"/>
      <c r="D40" s="133"/>
      <c r="E40" s="133"/>
      <c r="F40" s="133"/>
      <c r="G40" s="133"/>
      <c r="H40" s="133"/>
      <c r="I40" s="36"/>
      <c r="K40" s="31" t="s">
        <v>27</v>
      </c>
    </row>
    <row r="41" spans="1:11" ht="12.75">
      <c r="A41" s="29"/>
      <c r="B41" s="54"/>
      <c r="C41" s="53"/>
      <c r="D41" s="29"/>
      <c r="E41" s="135"/>
      <c r="F41" s="135"/>
      <c r="G41" s="135"/>
      <c r="H41" s="135"/>
      <c r="I41" s="135"/>
      <c r="K41" s="33">
        <v>0.35</v>
      </c>
    </row>
    <row r="42" spans="1:11" ht="12.75">
      <c r="A42" s="29"/>
      <c r="B42" s="49"/>
      <c r="C42" s="106"/>
      <c r="D42" s="24"/>
      <c r="E42" s="36"/>
      <c r="F42" s="36"/>
      <c r="G42" s="36"/>
      <c r="H42" s="36"/>
      <c r="I42" s="36"/>
      <c r="K42" s="33">
        <v>0.4</v>
      </c>
    </row>
    <row r="43" spans="1:11" ht="12.75">
      <c r="A43" s="29"/>
      <c r="B43" s="37"/>
      <c r="C43" s="50"/>
      <c r="D43" s="24"/>
      <c r="E43" s="36"/>
      <c r="F43" s="36"/>
      <c r="G43" s="36"/>
      <c r="H43" s="36"/>
      <c r="I43" s="36"/>
      <c r="K43" s="33">
        <v>0.45</v>
      </c>
    </row>
    <row r="44" spans="1:9" ht="4.5" customHeight="1">
      <c r="A44" s="29"/>
      <c r="B44" s="37"/>
      <c r="C44" s="38"/>
      <c r="D44" s="24"/>
      <c r="E44" s="24"/>
      <c r="F44" s="24"/>
      <c r="G44" s="24"/>
      <c r="H44" s="24"/>
      <c r="I44" s="36"/>
    </row>
    <row r="45" spans="1:14" ht="12.75">
      <c r="A45" s="29"/>
      <c r="B45" s="37"/>
      <c r="C45" s="50"/>
      <c r="D45" s="24"/>
      <c r="E45" s="36"/>
      <c r="F45" s="36"/>
      <c r="G45" s="36"/>
      <c r="H45" s="36"/>
      <c r="I45" s="36"/>
      <c r="K45" s="31" t="s">
        <v>28</v>
      </c>
      <c r="N45" s="50">
        <f>IF($C$16=$K$7,1+(($C$41-(8+(5*(C33-0.5))/$C$31))^2)/150,1)</f>
        <v>1</v>
      </c>
    </row>
    <row r="46" spans="1:11" ht="4.5" customHeight="1">
      <c r="A46" s="29"/>
      <c r="B46" s="37"/>
      <c r="C46" s="38"/>
      <c r="D46" s="24"/>
      <c r="E46" s="24"/>
      <c r="F46" s="24"/>
      <c r="G46" s="24"/>
      <c r="H46" s="24"/>
      <c r="I46" s="36"/>
      <c r="K46" s="32" t="s">
        <v>30</v>
      </c>
    </row>
    <row r="47" spans="1:11" ht="12.75">
      <c r="A47" s="29"/>
      <c r="B47" s="37"/>
      <c r="C47" s="50"/>
      <c r="D47" s="24"/>
      <c r="E47" s="36"/>
      <c r="F47" s="36"/>
      <c r="G47" s="36"/>
      <c r="H47" s="36"/>
      <c r="I47" s="36"/>
      <c r="K47" s="32" t="s">
        <v>29</v>
      </c>
    </row>
    <row r="48" spans="1:11" ht="4.5" customHeight="1">
      <c r="A48" s="29"/>
      <c r="B48" s="37"/>
      <c r="C48" s="38"/>
      <c r="D48" s="24"/>
      <c r="E48" s="24"/>
      <c r="F48" s="24"/>
      <c r="G48" s="24"/>
      <c r="H48" s="24"/>
      <c r="I48" s="36"/>
      <c r="K48" s="32"/>
    </row>
    <row r="49" spans="1:9" ht="12.75">
      <c r="A49" s="29"/>
      <c r="B49" s="37"/>
      <c r="C49" s="50"/>
      <c r="D49" s="24"/>
      <c r="E49" s="36"/>
      <c r="F49" s="36"/>
      <c r="G49" s="36"/>
      <c r="H49" s="36"/>
      <c r="I49" s="36"/>
    </row>
    <row r="50" spans="1:9" ht="4.5" customHeight="1">
      <c r="A50" s="29"/>
      <c r="B50" s="37"/>
      <c r="C50" s="38"/>
      <c r="D50" s="24"/>
      <c r="E50" s="24"/>
      <c r="F50" s="24"/>
      <c r="G50" s="24"/>
      <c r="H50" s="24"/>
      <c r="I50" s="36"/>
    </row>
    <row r="51" spans="1:13" ht="12.75" customHeight="1">
      <c r="A51" s="29"/>
      <c r="B51" s="37"/>
      <c r="C51" s="50"/>
      <c r="D51" s="24"/>
      <c r="E51" s="36"/>
      <c r="F51" s="36"/>
      <c r="G51" s="36"/>
      <c r="H51" s="36"/>
      <c r="I51" s="36"/>
      <c r="K51" s="184" t="s">
        <v>107</v>
      </c>
      <c r="L51" s="184"/>
      <c r="M51" s="184"/>
    </row>
    <row r="52" spans="1:13" ht="4.5" customHeight="1">
      <c r="A52" s="29"/>
      <c r="B52" s="37"/>
      <c r="C52" s="38"/>
      <c r="D52" s="24"/>
      <c r="E52" s="24"/>
      <c r="F52" s="24"/>
      <c r="G52" s="24"/>
      <c r="H52" s="24"/>
      <c r="I52" s="36"/>
      <c r="K52" s="184"/>
      <c r="L52" s="184"/>
      <c r="M52" s="184"/>
    </row>
    <row r="53" spans="1:13" ht="12.75">
      <c r="A53" s="109"/>
      <c r="B53" s="109"/>
      <c r="C53" s="109"/>
      <c r="D53" s="29"/>
      <c r="E53" s="29"/>
      <c r="F53" s="29"/>
      <c r="G53" s="29"/>
      <c r="H53" s="29"/>
      <c r="I53" s="29"/>
      <c r="K53" s="184"/>
      <c r="L53" s="184"/>
      <c r="M53" s="184"/>
    </row>
    <row r="54" spans="1:13" ht="12.75" customHeight="1">
      <c r="A54" s="29"/>
      <c r="B54" s="29"/>
      <c r="C54" s="53"/>
      <c r="D54" s="52"/>
      <c r="E54" s="135"/>
      <c r="F54" s="135"/>
      <c r="G54" s="135"/>
      <c r="H54" s="135"/>
      <c r="I54" s="135"/>
      <c r="K54" s="184"/>
      <c r="L54" s="184"/>
      <c r="M54" s="184"/>
    </row>
    <row r="55" spans="1:13" ht="12.75">
      <c r="A55" s="29"/>
      <c r="B55" s="29"/>
      <c r="C55" s="23"/>
      <c r="D55" s="29"/>
      <c r="E55" s="29"/>
      <c r="F55" s="29"/>
      <c r="G55" s="29"/>
      <c r="H55" s="29"/>
      <c r="I55" s="29"/>
      <c r="K55" s="56">
        <f>IF($C$25=$K$11,"N/A",50%)</f>
        <v>0.5</v>
      </c>
      <c r="L55">
        <v>1.035</v>
      </c>
      <c r="M55" s="2">
        <v>0.5</v>
      </c>
    </row>
    <row r="56" spans="1:13" ht="16.5" customHeight="1">
      <c r="A56" s="29"/>
      <c r="B56" s="145"/>
      <c r="C56" s="145"/>
      <c r="D56" s="29"/>
      <c r="E56" s="29"/>
      <c r="F56" s="29"/>
      <c r="G56" s="29"/>
      <c r="H56" s="29"/>
      <c r="I56" s="29"/>
      <c r="K56" s="56">
        <f>IF($C$25=$K$11," ",60%)</f>
        <v>0.6</v>
      </c>
      <c r="L56">
        <v>1.05</v>
      </c>
      <c r="M56" s="2">
        <v>0.6</v>
      </c>
    </row>
    <row r="57" spans="1:13" ht="11.25" customHeight="1">
      <c r="A57" s="29"/>
      <c r="B57" s="54"/>
      <c r="C57" s="23"/>
      <c r="D57" s="29"/>
      <c r="E57" s="135"/>
      <c r="F57" s="135"/>
      <c r="G57" s="135"/>
      <c r="H57" s="135"/>
      <c r="I57" s="135"/>
      <c r="K57" s="56">
        <f>IF($C$25=$K$11," ",70%)</f>
        <v>0.7</v>
      </c>
      <c r="L57">
        <v>1.1</v>
      </c>
      <c r="M57" s="2">
        <v>0.7</v>
      </c>
    </row>
    <row r="58" spans="1:13" ht="12.75">
      <c r="A58" s="29"/>
      <c r="B58" s="54"/>
      <c r="C58" s="57"/>
      <c r="D58" s="29"/>
      <c r="E58" s="135"/>
      <c r="F58" s="135"/>
      <c r="G58" s="135"/>
      <c r="H58" s="135"/>
      <c r="I58" s="135"/>
      <c r="K58" s="56">
        <f>IF($C$25=$K$11," ",80%)</f>
        <v>0.8</v>
      </c>
      <c r="L58">
        <v>1.2</v>
      </c>
      <c r="M58" s="2">
        <v>0.8</v>
      </c>
    </row>
    <row r="59" spans="1:13" ht="12.75">
      <c r="A59" s="29"/>
      <c r="B59" s="54"/>
      <c r="C59" s="23"/>
      <c r="D59" s="29"/>
      <c r="E59" s="135"/>
      <c r="F59" s="135"/>
      <c r="G59" s="135"/>
      <c r="H59" s="135"/>
      <c r="I59" s="135"/>
      <c r="K59" s="56">
        <f>IF($C$25=$K$11," ",90%)</f>
        <v>0.9</v>
      </c>
      <c r="L59">
        <v>1.4</v>
      </c>
      <c r="M59" s="2">
        <v>0.9</v>
      </c>
    </row>
    <row r="60" spans="1:13" ht="9.75" customHeight="1">
      <c r="A60" s="29"/>
      <c r="B60" s="136"/>
      <c r="C60" s="137"/>
      <c r="D60" s="30"/>
      <c r="E60" s="30"/>
      <c r="F60" s="30"/>
      <c r="G60" s="30"/>
      <c r="H60" s="30"/>
      <c r="I60" s="30"/>
      <c r="K60" s="56">
        <f>IF($C$25=$K$11," ",92%)</f>
        <v>0.92</v>
      </c>
      <c r="L60">
        <v>1.46</v>
      </c>
      <c r="M60" s="2">
        <v>0.92</v>
      </c>
    </row>
    <row r="61" spans="1:13" ht="12.75">
      <c r="A61" s="29"/>
      <c r="B61" s="146"/>
      <c r="C61" s="146"/>
      <c r="D61" s="146"/>
      <c r="E61" s="146"/>
      <c r="F61" s="146"/>
      <c r="G61" s="146"/>
      <c r="H61" s="146"/>
      <c r="I61" s="146"/>
      <c r="K61" s="56">
        <f>IF($C$25=$K$11," ",95%)</f>
        <v>0.95</v>
      </c>
      <c r="L61">
        <v>1.57</v>
      </c>
      <c r="M61" s="2">
        <v>0.95</v>
      </c>
    </row>
    <row r="62" spans="1:13" ht="12.75">
      <c r="A62" s="29"/>
      <c r="B62" s="122"/>
      <c r="C62" s="122"/>
      <c r="D62" s="122"/>
      <c r="E62" s="147"/>
      <c r="F62" s="147"/>
      <c r="G62" s="147"/>
      <c r="H62" s="147"/>
      <c r="I62" s="147"/>
      <c r="K62" s="56">
        <f>IF($C$25=$K$11," ",98%)</f>
        <v>0.98</v>
      </c>
      <c r="L62">
        <v>1.7</v>
      </c>
      <c r="M62" s="2">
        <v>0.98</v>
      </c>
    </row>
    <row r="63" spans="1:9" ht="12.75">
      <c r="A63" s="29"/>
      <c r="B63" s="123"/>
      <c r="C63" s="123"/>
      <c r="D63" s="123"/>
      <c r="E63" s="147"/>
      <c r="F63" s="147"/>
      <c r="G63" s="147"/>
      <c r="H63" s="147"/>
      <c r="I63" s="147"/>
    </row>
    <row r="64" spans="1:11" ht="12.75">
      <c r="A64" s="29"/>
      <c r="B64" s="123"/>
      <c r="C64" s="123"/>
      <c r="D64" s="123"/>
      <c r="E64" s="147"/>
      <c r="F64" s="147"/>
      <c r="G64" s="147"/>
      <c r="H64" s="147"/>
      <c r="I64" s="147"/>
      <c r="K64" s="60"/>
    </row>
    <row r="65" spans="1:9" ht="12.75">
      <c r="A65" s="109"/>
      <c r="B65" s="109"/>
      <c r="C65" s="109"/>
      <c r="D65" s="109"/>
      <c r="E65" s="109"/>
      <c r="F65" s="109"/>
      <c r="G65" s="109"/>
      <c r="H65" s="109"/>
      <c r="I65" s="29"/>
    </row>
    <row r="66" spans="1:9" ht="6" customHeight="1">
      <c r="A66" s="109"/>
      <c r="B66" s="109"/>
      <c r="C66" s="109"/>
      <c r="D66" s="29"/>
      <c r="E66" s="29"/>
      <c r="F66" s="29"/>
      <c r="G66" s="29"/>
      <c r="H66" s="29"/>
      <c r="I66" s="29"/>
    </row>
    <row r="67" spans="1:9" ht="12.75">
      <c r="A67" s="109"/>
      <c r="B67" s="49"/>
      <c r="C67" s="24"/>
      <c r="D67" s="24"/>
      <c r="E67" s="36"/>
      <c r="F67" s="36"/>
      <c r="G67" s="36"/>
      <c r="H67" s="36"/>
      <c r="I67" s="36"/>
    </row>
    <row r="68" spans="1:16" ht="12.75">
      <c r="A68" s="109"/>
      <c r="B68" s="49"/>
      <c r="C68" s="24"/>
      <c r="D68" s="36"/>
      <c r="E68" s="148"/>
      <c r="F68" s="148"/>
      <c r="G68" s="148"/>
      <c r="H68" s="148"/>
      <c r="I68" s="148"/>
      <c r="L68" s="181" t="s">
        <v>120</v>
      </c>
      <c r="M68" s="181"/>
      <c r="N68" s="181"/>
      <c r="P68" s="7" t="s">
        <v>129</v>
      </c>
    </row>
    <row r="69" spans="1:16" ht="12.75">
      <c r="A69" s="109"/>
      <c r="B69" s="138"/>
      <c r="C69" s="139"/>
      <c r="D69" s="140"/>
      <c r="E69" s="149"/>
      <c r="F69" s="149"/>
      <c r="G69" s="149"/>
      <c r="H69" s="149"/>
      <c r="I69" s="149"/>
      <c r="L69" s="7" t="s">
        <v>128</v>
      </c>
      <c r="M69" s="7" t="s">
        <v>121</v>
      </c>
      <c r="N69" s="7" t="s">
        <v>119</v>
      </c>
      <c r="P69" s="7" t="e">
        <f>((C67/C68)^0.5)*(((C69*C70)/(C71*((C72)^0.5)))^0.3333)</f>
        <v>#DIV/0!</v>
      </c>
    </row>
    <row r="70" spans="1:13" ht="12.75">
      <c r="A70" s="109"/>
      <c r="B70" s="49"/>
      <c r="C70" s="50"/>
      <c r="D70" s="36"/>
      <c r="E70" s="36"/>
      <c r="F70" s="36"/>
      <c r="G70" s="36"/>
      <c r="H70" s="36"/>
      <c r="I70" s="36"/>
      <c r="L70" s="7" t="s">
        <v>122</v>
      </c>
      <c r="M70" s="7">
        <v>350</v>
      </c>
    </row>
    <row r="71" spans="1:16" ht="12.75">
      <c r="A71" s="109"/>
      <c r="B71" s="138"/>
      <c r="C71" s="55"/>
      <c r="D71" s="140"/>
      <c r="E71" s="149"/>
      <c r="F71" s="149"/>
      <c r="G71" s="149"/>
      <c r="H71" s="149"/>
      <c r="I71" s="149"/>
      <c r="L71" s="7" t="s">
        <v>123</v>
      </c>
      <c r="M71" s="7">
        <v>350</v>
      </c>
      <c r="P71" s="7" t="s">
        <v>130</v>
      </c>
    </row>
    <row r="72" spans="1:16" ht="12.75">
      <c r="A72" s="29"/>
      <c r="B72" s="138"/>
      <c r="C72" s="52"/>
      <c r="D72" s="29"/>
      <c r="E72" s="135"/>
      <c r="F72" s="135"/>
      <c r="G72" s="135"/>
      <c r="H72" s="135"/>
      <c r="I72" s="135"/>
      <c r="L72" s="45" t="s">
        <v>124</v>
      </c>
      <c r="M72" s="7">
        <v>330</v>
      </c>
      <c r="P72" s="7" t="e">
        <f>((C67^0.75)/160)*(((C69*C70)/(C71*((C72)^0.5)))^0.5)</f>
        <v>#DIV/0!</v>
      </c>
    </row>
    <row r="73" spans="1:13" ht="12.75">
      <c r="A73" s="109"/>
      <c r="B73" s="138"/>
      <c r="C73" s="55"/>
      <c r="D73" s="140"/>
      <c r="E73" s="149"/>
      <c r="F73" s="149"/>
      <c r="G73" s="149"/>
      <c r="H73" s="149"/>
      <c r="I73" s="149"/>
      <c r="L73" s="7" t="s">
        <v>125</v>
      </c>
      <c r="M73" s="7">
        <v>330</v>
      </c>
    </row>
    <row r="74" spans="1:13" ht="8.25" customHeight="1">
      <c r="A74" s="29"/>
      <c r="B74" s="140"/>
      <c r="C74" s="140"/>
      <c r="D74" s="140"/>
      <c r="E74" s="140"/>
      <c r="F74" s="140"/>
      <c r="G74" s="140"/>
      <c r="H74" s="140"/>
      <c r="I74" s="140"/>
      <c r="L74" s="7" t="s">
        <v>126</v>
      </c>
      <c r="M74" s="7">
        <v>335</v>
      </c>
    </row>
    <row r="75" spans="1:13" ht="12.75">
      <c r="A75" s="46"/>
      <c r="B75" s="30"/>
      <c r="C75" s="30"/>
      <c r="D75" s="30"/>
      <c r="E75" s="30"/>
      <c r="F75" s="30"/>
      <c r="G75" s="30"/>
      <c r="H75" s="30"/>
      <c r="I75" s="30"/>
      <c r="L75" s="7" t="s">
        <v>127</v>
      </c>
      <c r="M75" s="7">
        <v>335</v>
      </c>
    </row>
    <row r="76" spans="1:9" ht="12.75">
      <c r="A76" s="49"/>
      <c r="B76" s="24"/>
      <c r="C76" s="30"/>
      <c r="D76" s="38"/>
      <c r="E76" s="30"/>
      <c r="F76" s="38"/>
      <c r="G76" s="38"/>
      <c r="H76" s="38"/>
      <c r="I76" s="29"/>
    </row>
    <row r="77" spans="1:9" ht="12.75">
      <c r="A77" s="49"/>
      <c r="B77" s="47"/>
      <c r="C77" s="30"/>
      <c r="D77" s="38"/>
      <c r="E77" s="30"/>
      <c r="F77" s="38"/>
      <c r="G77" s="38"/>
      <c r="H77" s="38"/>
      <c r="I77" s="29"/>
    </row>
    <row r="78" spans="1:9" ht="12.75">
      <c r="A78" s="49"/>
      <c r="B78" s="47"/>
      <c r="C78" s="30"/>
      <c r="D78" s="47"/>
      <c r="E78" s="30"/>
      <c r="F78" s="47"/>
      <c r="G78" s="47"/>
      <c r="H78" s="47"/>
      <c r="I78" s="29"/>
    </row>
    <row r="79" spans="1:9" ht="12.75">
      <c r="A79" s="49"/>
      <c r="B79" s="47"/>
      <c r="C79" s="30"/>
      <c r="D79" s="38"/>
      <c r="E79" s="30"/>
      <c r="F79" s="38"/>
      <c r="G79" s="38"/>
      <c r="H79" s="38"/>
      <c r="I79" s="29"/>
    </row>
    <row r="80" spans="3:8" ht="12.75">
      <c r="C80" s="41"/>
      <c r="D80" s="30"/>
      <c r="E80" s="30"/>
      <c r="F80" s="30"/>
      <c r="G80" s="30"/>
      <c r="H80" s="30"/>
    </row>
    <row r="81" spans="3:8" ht="12.75">
      <c r="C81" s="42"/>
      <c r="D81" s="30"/>
      <c r="E81" s="30"/>
      <c r="F81" s="30"/>
      <c r="G81" s="30"/>
      <c r="H81" s="30"/>
    </row>
    <row r="82" ht="12.75">
      <c r="C82" s="28"/>
    </row>
    <row r="83" ht="12.75" hidden="1"/>
    <row r="84" ht="12.75" hidden="1">
      <c r="I84" s="45"/>
    </row>
  </sheetData>
  <sheetProtection password="8E6E" sheet="1" objects="1" scenarios="1" selectLockedCells="1"/>
  <mergeCells count="4">
    <mergeCell ref="D1:I3"/>
    <mergeCell ref="A1:C3"/>
    <mergeCell ref="L68:N68"/>
    <mergeCell ref="K51:M54"/>
  </mergeCells>
  <conditionalFormatting sqref="B62:D64">
    <cfRule type="expression" priority="1" dxfId="2" stopIfTrue="1">
      <formula>$C$16=$K$7</formula>
    </cfRule>
  </conditionalFormatting>
  <conditionalFormatting sqref="E62:I64 B61">
    <cfRule type="expression" priority="2" dxfId="1" stopIfTrue="1">
      <formula>$C$16=$K$7</formula>
    </cfRule>
  </conditionalFormatting>
  <dataValidations count="7">
    <dataValidation type="list" allowBlank="1" showInputMessage="1" showErrorMessage="1" sqref="E68">
      <formula1>moinhocircuito</formula1>
    </dataValidation>
    <dataValidation type="list" showInputMessage="1" showErrorMessage="1" sqref="B64">
      <formula1>$K$33:$K$37</formula1>
    </dataValidation>
    <dataValidation type="list" allowBlank="1" showInputMessage="1" showErrorMessage="1" sqref="B63">
      <formula1>$K$30:$K$31</formula1>
    </dataValidation>
    <dataValidation type="list" showInputMessage="1" showErrorMessage="1" sqref="C25">
      <formula1>$K$10:$K$11</formula1>
    </dataValidation>
    <dataValidation type="list" showInputMessage="1" showErrorMessage="1" sqref="C22">
      <formula1>$K$13:$K$14</formula1>
    </dataValidation>
    <dataValidation type="list" allowBlank="1" showInputMessage="1" showErrorMessage="1" sqref="C28">
      <formula1>refcontrole</formula1>
    </dataValidation>
    <dataValidation type="list" allowBlank="1" showInputMessage="1" showErrorMessage="1" sqref="C31">
      <formula1>dianom</formula1>
    </dataValidation>
  </dataValidations>
  <printOptions/>
  <pageMargins left="0.6" right="0.48" top="0.17" bottom="0.15" header="0.08" footer="0.15"/>
  <pageSetup horizontalDpi="600" verticalDpi="600" orientation="portrait" paperSize="9" scale="89" r:id="rId2"/>
  <headerFooter alignWithMargins="0">
    <oddFooter>&amp;L&amp;8&amp;F&amp;C&amp;G&amp;R&amp;8© Hatch 2009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P23"/>
  <sheetViews>
    <sheetView zoomScale="85" zoomScaleNormal="85" zoomScalePageLayoutView="0" workbookViewId="0" topLeftCell="A1">
      <selection activeCell="F36" sqref="F36"/>
    </sheetView>
  </sheetViews>
  <sheetFormatPr defaultColWidth="9.140625" defaultRowHeight="12.75"/>
  <cols>
    <col min="1" max="3" width="10.421875" style="0" customWidth="1"/>
    <col min="4" max="5" width="12.140625" style="0" customWidth="1"/>
    <col min="6" max="6" width="11.8515625" style="0" customWidth="1"/>
    <col min="7" max="7" width="13.7109375" style="0" customWidth="1"/>
    <col min="8" max="8" width="7.00390625" style="0" customWidth="1"/>
    <col min="9" max="9" width="6.8515625" style="0" customWidth="1"/>
    <col min="10" max="10" width="7.28125" style="0" customWidth="1"/>
    <col min="11" max="11" width="11.7109375" style="0" customWidth="1"/>
    <col min="14" max="14" width="16.28125" style="0" customWidth="1"/>
    <col min="15" max="15" width="13.8515625" style="0" customWidth="1"/>
  </cols>
  <sheetData>
    <row r="1" spans="1:15" ht="50.25" customHeight="1">
      <c r="A1" s="217" t="s">
        <v>17</v>
      </c>
      <c r="B1" s="217"/>
      <c r="C1" s="216" t="s">
        <v>18</v>
      </c>
      <c r="D1" s="216"/>
      <c r="E1" s="216" t="s">
        <v>13</v>
      </c>
      <c r="F1" s="216"/>
      <c r="G1" s="3" t="s">
        <v>19</v>
      </c>
      <c r="H1" s="216" t="s">
        <v>20</v>
      </c>
      <c r="I1" s="216"/>
      <c r="J1" s="216"/>
      <c r="K1" s="216" t="s">
        <v>21</v>
      </c>
      <c r="L1" s="216"/>
      <c r="M1" s="216"/>
      <c r="N1" s="216" t="s">
        <v>22</v>
      </c>
      <c r="O1" s="216"/>
    </row>
    <row r="2" spans="1:16" ht="13.5" customHeight="1">
      <c r="A2" s="1" t="s">
        <v>23</v>
      </c>
      <c r="B2" s="4" t="s">
        <v>24</v>
      </c>
      <c r="C2" s="1" t="s">
        <v>23</v>
      </c>
      <c r="D2" s="4" t="s">
        <v>24</v>
      </c>
      <c r="E2" s="1" t="s">
        <v>23</v>
      </c>
      <c r="F2" s="3" t="s">
        <v>24</v>
      </c>
      <c r="G2" s="3" t="s">
        <v>25</v>
      </c>
      <c r="H2" s="5">
        <v>0.35</v>
      </c>
      <c r="I2" s="5">
        <v>0.4</v>
      </c>
      <c r="J2" s="5">
        <v>0.45</v>
      </c>
      <c r="K2" s="5">
        <v>0.35</v>
      </c>
      <c r="L2" s="5">
        <v>0.4</v>
      </c>
      <c r="M2" s="5">
        <v>0.45</v>
      </c>
      <c r="N2" s="1" t="s">
        <v>23</v>
      </c>
      <c r="O2" s="3" t="s">
        <v>24</v>
      </c>
      <c r="P2" t="s">
        <v>16</v>
      </c>
    </row>
    <row r="3" spans="1:16" ht="12.75">
      <c r="A3" s="6">
        <f aca="true" t="shared" si="0" ref="A3:A22">B3*12*0.0254</f>
        <v>0.9144</v>
      </c>
      <c r="B3">
        <v>3</v>
      </c>
      <c r="C3" s="6">
        <f aca="true" t="shared" si="1" ref="C3:C22">D3*12*0.0254</f>
        <v>1.2191999999999998</v>
      </c>
      <c r="D3">
        <v>4</v>
      </c>
      <c r="E3" s="6">
        <f aca="true" t="shared" si="2" ref="E3:E22">F3*12*0.0254</f>
        <v>1.0668</v>
      </c>
      <c r="F3">
        <v>3.5</v>
      </c>
      <c r="G3">
        <v>5847</v>
      </c>
      <c r="H3">
        <v>1</v>
      </c>
      <c r="I3">
        <v>1.13</v>
      </c>
      <c r="J3">
        <v>1.27</v>
      </c>
      <c r="K3">
        <v>7</v>
      </c>
      <c r="L3">
        <v>8</v>
      </c>
      <c r="M3">
        <v>8</v>
      </c>
      <c r="N3" s="6">
        <f aca="true" t="shared" si="3" ref="N3:N22">O3*12*0.0254</f>
        <v>0.762</v>
      </c>
      <c r="O3">
        <f aca="true" t="shared" si="4" ref="O3:O9">B3-0.5</f>
        <v>2.5</v>
      </c>
      <c r="P3">
        <v>36.1</v>
      </c>
    </row>
    <row r="4" spans="1:16" ht="12.75">
      <c r="A4" s="6">
        <f t="shared" si="0"/>
        <v>1.2191999999999998</v>
      </c>
      <c r="B4">
        <v>4</v>
      </c>
      <c r="C4" s="6">
        <f t="shared" si="1"/>
        <v>1.8288</v>
      </c>
      <c r="D4">
        <v>6</v>
      </c>
      <c r="E4" s="6">
        <f t="shared" si="2"/>
        <v>1.6764</v>
      </c>
      <c r="F4">
        <v>5.5</v>
      </c>
      <c r="G4">
        <v>5847</v>
      </c>
      <c r="H4">
        <v>2.24</v>
      </c>
      <c r="I4">
        <v>2.58</v>
      </c>
      <c r="J4">
        <v>2.9</v>
      </c>
      <c r="K4">
        <v>23</v>
      </c>
      <c r="L4">
        <v>25</v>
      </c>
      <c r="M4">
        <v>26</v>
      </c>
      <c r="N4" s="6">
        <f t="shared" si="3"/>
        <v>1.0668</v>
      </c>
      <c r="O4">
        <f t="shared" si="4"/>
        <v>3.5</v>
      </c>
      <c r="P4">
        <v>30.6</v>
      </c>
    </row>
    <row r="5" spans="1:16" ht="12.75">
      <c r="A5" s="6">
        <f t="shared" si="0"/>
        <v>1.524</v>
      </c>
      <c r="B5">
        <v>5</v>
      </c>
      <c r="C5" s="6">
        <f t="shared" si="1"/>
        <v>2.4383999999999997</v>
      </c>
      <c r="D5">
        <v>8</v>
      </c>
      <c r="E5" s="6">
        <f t="shared" si="2"/>
        <v>2.286</v>
      </c>
      <c r="F5">
        <v>7.5</v>
      </c>
      <c r="G5">
        <v>5847</v>
      </c>
      <c r="H5">
        <v>6.91</v>
      </c>
      <c r="I5">
        <v>7.95</v>
      </c>
      <c r="J5">
        <v>8.89</v>
      </c>
      <c r="K5">
        <v>57</v>
      </c>
      <c r="L5">
        <v>61</v>
      </c>
      <c r="M5">
        <v>64</v>
      </c>
      <c r="N5" s="6">
        <f t="shared" si="3"/>
        <v>1.3716</v>
      </c>
      <c r="O5">
        <f t="shared" si="4"/>
        <v>4.5</v>
      </c>
      <c r="P5">
        <v>25.7</v>
      </c>
    </row>
    <row r="6" spans="1:16" ht="12.75">
      <c r="A6" s="6">
        <f t="shared" si="0"/>
        <v>1.8288</v>
      </c>
      <c r="B6">
        <v>6</v>
      </c>
      <c r="C6" s="6">
        <f t="shared" si="1"/>
        <v>3.048</v>
      </c>
      <c r="D6">
        <v>10</v>
      </c>
      <c r="E6" s="6">
        <f t="shared" si="2"/>
        <v>2.8956</v>
      </c>
      <c r="F6">
        <v>9.5</v>
      </c>
      <c r="G6">
        <v>5847</v>
      </c>
      <c r="H6">
        <v>13.1</v>
      </c>
      <c r="I6">
        <v>15</v>
      </c>
      <c r="J6">
        <v>16.8</v>
      </c>
      <c r="K6">
        <v>114</v>
      </c>
      <c r="L6">
        <v>122</v>
      </c>
      <c r="M6">
        <v>128</v>
      </c>
      <c r="N6" s="6">
        <f t="shared" si="3"/>
        <v>1.6764</v>
      </c>
      <c r="O6">
        <f t="shared" si="4"/>
        <v>5.5</v>
      </c>
      <c r="P6">
        <v>23.1</v>
      </c>
    </row>
    <row r="7" spans="1:16" ht="12.75">
      <c r="A7" s="6">
        <f t="shared" si="0"/>
        <v>2.1336</v>
      </c>
      <c r="B7">
        <v>7</v>
      </c>
      <c r="C7" s="6">
        <f t="shared" si="1"/>
        <v>3.3528</v>
      </c>
      <c r="D7">
        <v>11</v>
      </c>
      <c r="E7" s="6">
        <f t="shared" si="2"/>
        <v>3.2003999999999997</v>
      </c>
      <c r="F7">
        <v>10.5</v>
      </c>
      <c r="G7">
        <v>5766</v>
      </c>
      <c r="H7">
        <v>20</v>
      </c>
      <c r="I7">
        <v>27.8</v>
      </c>
      <c r="J7">
        <v>25.5</v>
      </c>
      <c r="K7">
        <v>181</v>
      </c>
      <c r="L7">
        <v>194</v>
      </c>
      <c r="M7">
        <v>204</v>
      </c>
      <c r="N7" s="6">
        <f t="shared" si="3"/>
        <v>1.9811999999999999</v>
      </c>
      <c r="O7">
        <f t="shared" si="4"/>
        <v>6.5</v>
      </c>
      <c r="P7">
        <v>21</v>
      </c>
    </row>
    <row r="8" spans="1:16" ht="12.75">
      <c r="A8" s="6">
        <f t="shared" si="0"/>
        <v>2.4383999999999997</v>
      </c>
      <c r="B8">
        <v>8</v>
      </c>
      <c r="C8" s="6">
        <f t="shared" si="1"/>
        <v>3.6576</v>
      </c>
      <c r="D8">
        <v>12</v>
      </c>
      <c r="E8" s="6">
        <f t="shared" si="2"/>
        <v>3.5052</v>
      </c>
      <c r="F8">
        <v>11.5</v>
      </c>
      <c r="G8">
        <v>5766</v>
      </c>
      <c r="H8">
        <v>29</v>
      </c>
      <c r="I8">
        <v>33.2</v>
      </c>
      <c r="J8">
        <v>37.4</v>
      </c>
      <c r="K8">
        <v>275</v>
      </c>
      <c r="L8">
        <v>295</v>
      </c>
      <c r="M8">
        <v>310</v>
      </c>
      <c r="N8" s="6">
        <f t="shared" si="3"/>
        <v>2.286</v>
      </c>
      <c r="O8">
        <f t="shared" si="4"/>
        <v>7.5</v>
      </c>
      <c r="P8">
        <v>19.4</v>
      </c>
    </row>
    <row r="9" spans="1:16" ht="12.75">
      <c r="A9" s="6">
        <f t="shared" si="0"/>
        <v>2.5907999999999998</v>
      </c>
      <c r="B9">
        <v>8.5</v>
      </c>
      <c r="C9" s="6">
        <f t="shared" si="1"/>
        <v>3.6576</v>
      </c>
      <c r="D9">
        <v>12</v>
      </c>
      <c r="E9" s="6">
        <f t="shared" si="2"/>
        <v>3.5052</v>
      </c>
      <c r="F9">
        <v>11.5</v>
      </c>
      <c r="G9">
        <v>5766</v>
      </c>
      <c r="H9">
        <v>33</v>
      </c>
      <c r="I9">
        <v>37.7</v>
      </c>
      <c r="J9">
        <v>42.5</v>
      </c>
      <c r="K9">
        <v>318</v>
      </c>
      <c r="L9">
        <v>341</v>
      </c>
      <c r="M9">
        <v>359</v>
      </c>
      <c r="N9" s="6">
        <f t="shared" si="3"/>
        <v>2.4383999999999997</v>
      </c>
      <c r="O9">
        <f t="shared" si="4"/>
        <v>8</v>
      </c>
      <c r="P9">
        <v>18.7</v>
      </c>
    </row>
    <row r="10" spans="1:16" ht="12.75">
      <c r="A10" s="6">
        <f t="shared" si="0"/>
        <v>2.7432</v>
      </c>
      <c r="B10">
        <v>9</v>
      </c>
      <c r="C10" s="6">
        <f t="shared" si="1"/>
        <v>3.6576</v>
      </c>
      <c r="D10">
        <v>12</v>
      </c>
      <c r="E10" s="6">
        <f t="shared" si="2"/>
        <v>3.5052</v>
      </c>
      <c r="F10">
        <v>11.5</v>
      </c>
      <c r="G10">
        <v>5766</v>
      </c>
      <c r="H10">
        <v>36</v>
      </c>
      <c r="I10">
        <v>41.1</v>
      </c>
      <c r="J10">
        <v>45.5</v>
      </c>
      <c r="K10">
        <v>344</v>
      </c>
      <c r="L10">
        <v>369</v>
      </c>
      <c r="M10">
        <v>388</v>
      </c>
      <c r="N10" s="6">
        <f t="shared" si="3"/>
        <v>2.5450799999999996</v>
      </c>
      <c r="O10">
        <f aca="true" t="shared" si="5" ref="O10:O22">B10-0.65</f>
        <v>8.35</v>
      </c>
      <c r="P10">
        <v>17.9</v>
      </c>
    </row>
    <row r="11" spans="1:16" ht="12.75">
      <c r="A11" s="6">
        <f t="shared" si="0"/>
        <v>2.8956</v>
      </c>
      <c r="B11">
        <v>9.5</v>
      </c>
      <c r="C11" s="6">
        <f t="shared" si="1"/>
        <v>3.9623999999999997</v>
      </c>
      <c r="D11">
        <v>13</v>
      </c>
      <c r="E11" s="6">
        <f t="shared" si="2"/>
        <v>3.81</v>
      </c>
      <c r="F11">
        <v>12.5</v>
      </c>
      <c r="G11">
        <v>5606</v>
      </c>
      <c r="H11">
        <v>42.7</v>
      </c>
      <c r="I11">
        <v>48.8</v>
      </c>
      <c r="J11">
        <v>54.9</v>
      </c>
      <c r="K11">
        <v>416</v>
      </c>
      <c r="L11">
        <v>446</v>
      </c>
      <c r="M11">
        <v>470</v>
      </c>
      <c r="N11" s="6">
        <f t="shared" si="3"/>
        <v>2.6974799999999997</v>
      </c>
      <c r="O11">
        <f t="shared" si="5"/>
        <v>8.85</v>
      </c>
      <c r="P11">
        <v>17.4</v>
      </c>
    </row>
    <row r="12" spans="1:16" ht="12.75">
      <c r="A12" s="6">
        <f t="shared" si="0"/>
        <v>3.048</v>
      </c>
      <c r="B12">
        <v>10</v>
      </c>
      <c r="C12" s="6">
        <f t="shared" si="1"/>
        <v>4.2672</v>
      </c>
      <c r="D12">
        <v>14</v>
      </c>
      <c r="E12" s="6">
        <f t="shared" si="2"/>
        <v>4.1148</v>
      </c>
      <c r="F12">
        <v>13.5</v>
      </c>
      <c r="G12">
        <v>5606</v>
      </c>
      <c r="H12">
        <v>51.5</v>
      </c>
      <c r="I12">
        <v>59</v>
      </c>
      <c r="J12">
        <v>63.8</v>
      </c>
      <c r="K12">
        <v>507</v>
      </c>
      <c r="L12">
        <v>544</v>
      </c>
      <c r="M12">
        <v>572</v>
      </c>
      <c r="N12" s="6">
        <f t="shared" si="3"/>
        <v>2.8498799999999997</v>
      </c>
      <c r="O12">
        <f t="shared" si="5"/>
        <v>9.35</v>
      </c>
      <c r="P12">
        <v>16.8</v>
      </c>
    </row>
    <row r="13" spans="1:16" ht="12.75">
      <c r="A13" s="6">
        <f t="shared" si="0"/>
        <v>3.2003999999999997</v>
      </c>
      <c r="B13">
        <v>10.5</v>
      </c>
      <c r="C13" s="6">
        <f t="shared" si="1"/>
        <v>4.572</v>
      </c>
      <c r="D13">
        <v>15</v>
      </c>
      <c r="E13" s="6">
        <f t="shared" si="2"/>
        <v>4.4196</v>
      </c>
      <c r="F13">
        <v>14.5</v>
      </c>
      <c r="G13">
        <v>5606</v>
      </c>
      <c r="H13">
        <v>61.4</v>
      </c>
      <c r="I13">
        <v>10.1</v>
      </c>
      <c r="J13">
        <v>78.9</v>
      </c>
      <c r="K13">
        <v>609</v>
      </c>
      <c r="L13">
        <v>653</v>
      </c>
      <c r="M13">
        <v>687</v>
      </c>
      <c r="N13" s="6">
        <f t="shared" si="3"/>
        <v>3.0022799999999994</v>
      </c>
      <c r="O13">
        <f t="shared" si="5"/>
        <v>9.85</v>
      </c>
      <c r="P13">
        <v>16.7</v>
      </c>
    </row>
    <row r="14" spans="1:16" ht="12.75">
      <c r="A14" s="6">
        <f t="shared" si="0"/>
        <v>3.3528</v>
      </c>
      <c r="B14">
        <v>11</v>
      </c>
      <c r="C14" s="6">
        <f t="shared" si="1"/>
        <v>4.876799999999999</v>
      </c>
      <c r="D14">
        <v>16</v>
      </c>
      <c r="E14" s="6">
        <f t="shared" si="2"/>
        <v>4.7244</v>
      </c>
      <c r="F14">
        <v>15.5</v>
      </c>
      <c r="G14">
        <v>5606</v>
      </c>
      <c r="H14">
        <v>72.5</v>
      </c>
      <c r="I14">
        <v>82.8</v>
      </c>
      <c r="J14">
        <v>93.5</v>
      </c>
      <c r="K14">
        <v>735</v>
      </c>
      <c r="L14">
        <v>788</v>
      </c>
      <c r="M14">
        <v>823</v>
      </c>
      <c r="N14" s="6">
        <f t="shared" si="3"/>
        <v>3.1546799999999995</v>
      </c>
      <c r="O14">
        <f t="shared" si="5"/>
        <v>10.35</v>
      </c>
      <c r="P14">
        <v>15.8</v>
      </c>
    </row>
    <row r="15" spans="1:16" ht="12.75">
      <c r="A15" s="6">
        <f t="shared" si="0"/>
        <v>3.5052</v>
      </c>
      <c r="B15">
        <v>11.5</v>
      </c>
      <c r="C15" s="6">
        <f t="shared" si="1"/>
        <v>4.876799999999999</v>
      </c>
      <c r="D15">
        <v>16</v>
      </c>
      <c r="E15" s="6">
        <f t="shared" si="2"/>
        <v>4.7244</v>
      </c>
      <c r="F15">
        <v>15.5</v>
      </c>
      <c r="G15">
        <v>5606</v>
      </c>
      <c r="H15">
        <v>79.7</v>
      </c>
      <c r="I15">
        <v>90.7</v>
      </c>
      <c r="J15">
        <v>103</v>
      </c>
      <c r="K15">
        <v>819</v>
      </c>
      <c r="L15">
        <v>878</v>
      </c>
      <c r="M15">
        <v>924</v>
      </c>
      <c r="N15" s="6">
        <f t="shared" si="3"/>
        <v>3.3070799999999996</v>
      </c>
      <c r="O15">
        <f t="shared" si="5"/>
        <v>10.85</v>
      </c>
      <c r="P15">
        <v>15.5</v>
      </c>
    </row>
    <row r="16" spans="1:16" ht="12.75">
      <c r="A16" s="6">
        <f t="shared" si="0"/>
        <v>3.6576</v>
      </c>
      <c r="B16">
        <v>12</v>
      </c>
      <c r="C16" s="6">
        <f t="shared" si="1"/>
        <v>4.876799999999999</v>
      </c>
      <c r="D16">
        <v>16</v>
      </c>
      <c r="E16" s="6">
        <f t="shared" si="2"/>
        <v>4.7244</v>
      </c>
      <c r="F16">
        <v>15.5</v>
      </c>
      <c r="G16">
        <v>5606</v>
      </c>
      <c r="H16">
        <v>82.7</v>
      </c>
      <c r="I16">
        <v>99.8</v>
      </c>
      <c r="J16">
        <v>112</v>
      </c>
      <c r="K16">
        <v>906</v>
      </c>
      <c r="L16">
        <v>972</v>
      </c>
      <c r="M16">
        <v>1023</v>
      </c>
      <c r="N16" s="6">
        <f t="shared" si="3"/>
        <v>3.4594799999999997</v>
      </c>
      <c r="O16">
        <f t="shared" si="5"/>
        <v>11.35</v>
      </c>
      <c r="P16">
        <v>15.1</v>
      </c>
    </row>
    <row r="17" spans="1:16" ht="12.75">
      <c r="A17" s="6">
        <f t="shared" si="0"/>
        <v>3.81</v>
      </c>
      <c r="B17">
        <v>12.5</v>
      </c>
      <c r="C17" s="6">
        <f t="shared" si="1"/>
        <v>5.4864</v>
      </c>
      <c r="D17">
        <v>18</v>
      </c>
      <c r="E17" s="6">
        <f t="shared" si="2"/>
        <v>5.334</v>
      </c>
      <c r="F17">
        <v>17.5</v>
      </c>
      <c r="G17">
        <v>5446</v>
      </c>
      <c r="H17">
        <v>104</v>
      </c>
      <c r="I17">
        <v>119</v>
      </c>
      <c r="J17">
        <v>134</v>
      </c>
      <c r="K17">
        <v>1093</v>
      </c>
      <c r="L17">
        <v>1173</v>
      </c>
      <c r="M17">
        <v>1234</v>
      </c>
      <c r="N17" s="6">
        <f t="shared" si="3"/>
        <v>3.6118799999999998</v>
      </c>
      <c r="O17">
        <f t="shared" si="5"/>
        <v>11.85</v>
      </c>
      <c r="P17">
        <v>14.7</v>
      </c>
    </row>
    <row r="18" spans="1:16" ht="12.75">
      <c r="A18" s="6">
        <f t="shared" si="0"/>
        <v>3.9623999999999997</v>
      </c>
      <c r="B18">
        <v>13</v>
      </c>
      <c r="C18" s="6">
        <f t="shared" si="1"/>
        <v>5.7912</v>
      </c>
      <c r="D18">
        <v>19</v>
      </c>
      <c r="E18" s="6">
        <f t="shared" si="2"/>
        <v>5.6388</v>
      </c>
      <c r="F18">
        <v>18.5</v>
      </c>
      <c r="G18">
        <v>5446</v>
      </c>
      <c r="H18">
        <v>120</v>
      </c>
      <c r="I18">
        <v>137</v>
      </c>
      <c r="J18">
        <v>154</v>
      </c>
      <c r="K18">
        <v>1264</v>
      </c>
      <c r="L18">
        <v>1356</v>
      </c>
      <c r="M18">
        <v>1426</v>
      </c>
      <c r="N18" s="6">
        <f t="shared" si="3"/>
        <v>3.7642799999999994</v>
      </c>
      <c r="O18">
        <f t="shared" si="5"/>
        <v>12.35</v>
      </c>
      <c r="P18">
        <v>14.3</v>
      </c>
    </row>
    <row r="19" spans="1:16" ht="12.75">
      <c r="A19" s="6">
        <f t="shared" si="0"/>
        <v>4.1148</v>
      </c>
      <c r="B19">
        <v>13.5</v>
      </c>
      <c r="C19" s="6">
        <f t="shared" si="1"/>
        <v>5.7912</v>
      </c>
      <c r="D19">
        <v>19</v>
      </c>
      <c r="E19" s="6">
        <f t="shared" si="2"/>
        <v>5.6388</v>
      </c>
      <c r="F19">
        <v>18.5</v>
      </c>
      <c r="G19">
        <v>5446</v>
      </c>
      <c r="H19">
        <v>130</v>
      </c>
      <c r="I19">
        <v>146</v>
      </c>
      <c r="J19">
        <v>166</v>
      </c>
      <c r="K19">
        <v>1385</v>
      </c>
      <c r="L19">
        <v>1486</v>
      </c>
      <c r="M19">
        <v>1562</v>
      </c>
      <c r="N19" s="6">
        <f t="shared" si="3"/>
        <v>3.9166799999999995</v>
      </c>
      <c r="O19">
        <f t="shared" si="5"/>
        <v>12.85</v>
      </c>
      <c r="P19">
        <v>14</v>
      </c>
    </row>
    <row r="20" spans="1:16" ht="12.75">
      <c r="A20" s="6">
        <f t="shared" si="0"/>
        <v>4.2672</v>
      </c>
      <c r="B20">
        <v>14</v>
      </c>
      <c r="C20" s="6">
        <f t="shared" si="1"/>
        <v>6.096</v>
      </c>
      <c r="D20">
        <v>20</v>
      </c>
      <c r="E20" s="6">
        <f t="shared" si="2"/>
        <v>5.9436</v>
      </c>
      <c r="F20">
        <v>19.5</v>
      </c>
      <c r="G20">
        <v>5446</v>
      </c>
      <c r="H20">
        <v>147</v>
      </c>
      <c r="I20">
        <v>169</v>
      </c>
      <c r="J20">
        <v>190</v>
      </c>
      <c r="K20">
        <v>1580</v>
      </c>
      <c r="L20">
        <v>1695</v>
      </c>
      <c r="M20">
        <v>1783</v>
      </c>
      <c r="N20" s="6">
        <f t="shared" si="3"/>
        <v>4.06908</v>
      </c>
      <c r="O20">
        <f t="shared" si="5"/>
        <v>13.35</v>
      </c>
      <c r="P20">
        <v>13.8</v>
      </c>
    </row>
    <row r="21" spans="1:16" ht="12.75">
      <c r="A21" s="6">
        <f t="shared" si="0"/>
        <v>4.4196</v>
      </c>
      <c r="B21">
        <v>14.5</v>
      </c>
      <c r="C21" s="6">
        <f t="shared" si="1"/>
        <v>6.096</v>
      </c>
      <c r="D21">
        <v>20</v>
      </c>
      <c r="E21" s="6">
        <f t="shared" si="2"/>
        <v>5.9436</v>
      </c>
      <c r="F21">
        <v>19.5</v>
      </c>
      <c r="G21">
        <v>5446</v>
      </c>
      <c r="H21">
        <v>159</v>
      </c>
      <c r="I21">
        <v>181</v>
      </c>
      <c r="J21">
        <v>204</v>
      </c>
      <c r="K21">
        <v>1715</v>
      </c>
      <c r="L21">
        <v>1840</v>
      </c>
      <c r="M21">
        <v>1935</v>
      </c>
      <c r="N21" s="6">
        <f t="shared" si="3"/>
        <v>4.22148</v>
      </c>
      <c r="O21">
        <f t="shared" si="5"/>
        <v>13.85</v>
      </c>
      <c r="P21">
        <v>13.3</v>
      </c>
    </row>
    <row r="22" spans="1:16" ht="12.75">
      <c r="A22" s="6">
        <f t="shared" si="0"/>
        <v>4.572</v>
      </c>
      <c r="B22">
        <v>15</v>
      </c>
      <c r="C22" s="6">
        <f t="shared" si="1"/>
        <v>6.096</v>
      </c>
      <c r="D22">
        <v>20</v>
      </c>
      <c r="E22" s="6">
        <f t="shared" si="2"/>
        <v>5.9436</v>
      </c>
      <c r="F22">
        <v>19.5</v>
      </c>
      <c r="G22">
        <v>5446</v>
      </c>
      <c r="H22">
        <v>171</v>
      </c>
      <c r="I22">
        <v>194</v>
      </c>
      <c r="J22">
        <v>219</v>
      </c>
      <c r="K22">
        <v>1853</v>
      </c>
      <c r="L22">
        <v>1988</v>
      </c>
      <c r="M22">
        <v>2091</v>
      </c>
      <c r="N22" s="6">
        <f t="shared" si="3"/>
        <v>4.37388</v>
      </c>
      <c r="O22">
        <f t="shared" si="5"/>
        <v>14.35</v>
      </c>
      <c r="P22">
        <v>13</v>
      </c>
    </row>
    <row r="23" ht="12.75">
      <c r="N23" s="7"/>
    </row>
  </sheetData>
  <sheetProtection password="8E6E" sheet="1" objects="1" scenarios="1" selectLockedCells="1"/>
  <mergeCells count="6">
    <mergeCell ref="K1:M1"/>
    <mergeCell ref="N1:O1"/>
    <mergeCell ref="A1:B1"/>
    <mergeCell ref="C1:D1"/>
    <mergeCell ref="E1:F1"/>
    <mergeCell ref="H1:J1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36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4" width="7.7109375" style="8" customWidth="1"/>
    <col min="5" max="5" width="9.57421875" style="8" bestFit="1" customWidth="1"/>
    <col min="6" max="16" width="7.7109375" style="8" customWidth="1"/>
    <col min="17" max="16384" width="9.140625" style="8" customWidth="1"/>
  </cols>
  <sheetData>
    <row r="1" spans="1:20" ht="50.25" customHeight="1">
      <c r="A1" s="218" t="s">
        <v>35</v>
      </c>
      <c r="B1" s="219"/>
      <c r="C1" s="218" t="s">
        <v>36</v>
      </c>
      <c r="D1" s="219"/>
      <c r="E1" s="9" t="s">
        <v>34</v>
      </c>
      <c r="F1" s="218" t="s">
        <v>32</v>
      </c>
      <c r="G1" s="219"/>
      <c r="H1" s="219"/>
      <c r="I1" s="66" t="s">
        <v>37</v>
      </c>
      <c r="J1" s="79"/>
      <c r="K1" s="67"/>
      <c r="L1" s="66" t="s">
        <v>38</v>
      </c>
      <c r="M1" s="79"/>
      <c r="N1" s="67"/>
      <c r="O1" s="218" t="s">
        <v>33</v>
      </c>
      <c r="P1" s="219"/>
      <c r="R1" s="71"/>
      <c r="S1" s="71"/>
      <c r="T1" s="71"/>
    </row>
    <row r="2" spans="1:20" ht="13.5" customHeight="1">
      <c r="A2" s="10" t="s">
        <v>23</v>
      </c>
      <c r="B2" s="11" t="s">
        <v>8</v>
      </c>
      <c r="C2" s="10" t="s">
        <v>23</v>
      </c>
      <c r="D2" s="11" t="s">
        <v>8</v>
      </c>
      <c r="E2" s="11" t="s">
        <v>26</v>
      </c>
      <c r="F2" s="12">
        <v>0.35</v>
      </c>
      <c r="G2" s="12">
        <v>0.4</v>
      </c>
      <c r="H2" s="12">
        <v>0.45</v>
      </c>
      <c r="I2" s="12">
        <v>0.35</v>
      </c>
      <c r="J2" s="12">
        <v>0.4</v>
      </c>
      <c r="K2" s="12">
        <v>0.45</v>
      </c>
      <c r="L2" s="12">
        <v>0.35</v>
      </c>
      <c r="M2" s="12">
        <v>0.4</v>
      </c>
      <c r="N2" s="12">
        <v>0.45</v>
      </c>
      <c r="O2" s="10" t="s">
        <v>23</v>
      </c>
      <c r="P2" s="10" t="s">
        <v>8</v>
      </c>
      <c r="Q2" s="8" t="s">
        <v>16</v>
      </c>
      <c r="R2" s="70"/>
      <c r="S2" s="70"/>
      <c r="T2" s="70"/>
    </row>
    <row r="3" spans="1:20" ht="12.75">
      <c r="A3" s="13">
        <f>B3*12*0.0254</f>
        <v>0.9144</v>
      </c>
      <c r="B3" s="14">
        <v>3</v>
      </c>
      <c r="C3" s="13">
        <f aca="true" t="shared" si="0" ref="C3:C36">D3*12*0.0254</f>
        <v>0.9144</v>
      </c>
      <c r="D3" s="14">
        <f aca="true" t="shared" si="1" ref="D3:D36">B3</f>
        <v>3</v>
      </c>
      <c r="E3" s="14">
        <v>2</v>
      </c>
      <c r="F3" s="14">
        <v>0.68</v>
      </c>
      <c r="G3" s="14">
        <v>0.77</v>
      </c>
      <c r="H3" s="14">
        <v>0.87</v>
      </c>
      <c r="I3" s="14">
        <v>7</v>
      </c>
      <c r="J3" s="14">
        <v>7</v>
      </c>
      <c r="K3" s="14">
        <v>7</v>
      </c>
      <c r="L3" s="14">
        <v>8</v>
      </c>
      <c r="M3" s="14">
        <v>8</v>
      </c>
      <c r="N3" s="14">
        <v>9</v>
      </c>
      <c r="O3" s="13">
        <f aca="true" t="shared" si="2" ref="O3:O34">P3*12*0.0254</f>
        <v>0.762</v>
      </c>
      <c r="P3" s="14">
        <f aca="true" t="shared" si="3" ref="P3:P13">B3-0.5</f>
        <v>2.5</v>
      </c>
      <c r="Q3" s="58">
        <v>38.7</v>
      </c>
      <c r="R3" s="68"/>
      <c r="S3"/>
      <c r="T3" s="68"/>
    </row>
    <row r="4" spans="1:20" ht="12.75">
      <c r="A4" s="13">
        <f aca="true" t="shared" si="4" ref="A4:A36">B4*12*0.0254</f>
        <v>1.2191999999999998</v>
      </c>
      <c r="B4" s="14">
        <v>4</v>
      </c>
      <c r="C4" s="13">
        <f t="shared" si="0"/>
        <v>1.2191999999999998</v>
      </c>
      <c r="D4" s="14">
        <f t="shared" si="1"/>
        <v>4</v>
      </c>
      <c r="E4" s="14">
        <v>2</v>
      </c>
      <c r="F4" s="14">
        <v>1.77</v>
      </c>
      <c r="G4" s="14">
        <v>2.02</v>
      </c>
      <c r="H4" s="14">
        <v>2.28</v>
      </c>
      <c r="I4" s="14">
        <v>19</v>
      </c>
      <c r="J4" s="14">
        <v>20</v>
      </c>
      <c r="K4" s="14">
        <v>21</v>
      </c>
      <c r="L4" s="14">
        <v>22</v>
      </c>
      <c r="M4" s="14">
        <v>24</v>
      </c>
      <c r="N4" s="14">
        <v>25</v>
      </c>
      <c r="O4" s="13">
        <f t="shared" si="2"/>
        <v>1.0668</v>
      </c>
      <c r="P4" s="14">
        <f t="shared" si="3"/>
        <v>3.5</v>
      </c>
      <c r="Q4" s="58">
        <v>32.4</v>
      </c>
      <c r="R4" s="68"/>
      <c r="S4"/>
      <c r="T4" s="68"/>
    </row>
    <row r="5" spans="1:20" ht="12.75">
      <c r="A5" s="13">
        <f t="shared" si="4"/>
        <v>1.524</v>
      </c>
      <c r="B5" s="14">
        <v>5</v>
      </c>
      <c r="C5" s="13">
        <f t="shared" si="0"/>
        <v>1.524</v>
      </c>
      <c r="D5" s="14">
        <f t="shared" si="1"/>
        <v>5</v>
      </c>
      <c r="E5" s="14">
        <v>2</v>
      </c>
      <c r="F5" s="14">
        <v>3.66</v>
      </c>
      <c r="G5" s="14">
        <v>4.19</v>
      </c>
      <c r="H5" s="14">
        <v>4.71</v>
      </c>
      <c r="I5" s="14">
        <v>42</v>
      </c>
      <c r="J5" s="14">
        <v>45</v>
      </c>
      <c r="K5" s="14">
        <v>47</v>
      </c>
      <c r="L5" s="14">
        <v>49</v>
      </c>
      <c r="M5" s="14">
        <v>52</v>
      </c>
      <c r="N5" s="14">
        <v>54</v>
      </c>
      <c r="O5" s="13">
        <f t="shared" si="2"/>
        <v>1.3716</v>
      </c>
      <c r="P5" s="14">
        <f t="shared" si="3"/>
        <v>4.5</v>
      </c>
      <c r="Q5" s="58">
        <v>28.2</v>
      </c>
      <c r="R5" s="68"/>
      <c r="S5"/>
      <c r="T5" s="68"/>
    </row>
    <row r="6" spans="1:20" ht="12.75">
      <c r="A6" s="13">
        <f t="shared" si="4"/>
        <v>1.8288</v>
      </c>
      <c r="B6" s="14">
        <v>6</v>
      </c>
      <c r="C6" s="13">
        <f t="shared" si="0"/>
        <v>1.8288</v>
      </c>
      <c r="D6" s="14">
        <f t="shared" si="1"/>
        <v>6</v>
      </c>
      <c r="E6" s="14">
        <v>2</v>
      </c>
      <c r="F6" s="14">
        <v>6.56</v>
      </c>
      <c r="G6" s="14">
        <v>7.5</v>
      </c>
      <c r="H6" s="14">
        <v>8.44</v>
      </c>
      <c r="I6" s="14">
        <v>80</v>
      </c>
      <c r="J6" s="14">
        <v>85</v>
      </c>
      <c r="K6" s="14">
        <v>89</v>
      </c>
      <c r="L6" s="14">
        <v>93</v>
      </c>
      <c r="M6" s="14">
        <v>99</v>
      </c>
      <c r="N6" s="14">
        <v>103</v>
      </c>
      <c r="O6" s="13">
        <f t="shared" si="2"/>
        <v>1.6764</v>
      </c>
      <c r="P6" s="14">
        <f t="shared" si="3"/>
        <v>5.5</v>
      </c>
      <c r="Q6" s="58">
        <v>25.5</v>
      </c>
      <c r="R6" s="68"/>
      <c r="S6"/>
      <c r="T6" s="68"/>
    </row>
    <row r="7" spans="1:20" ht="12.75">
      <c r="A7" s="13">
        <f t="shared" si="4"/>
        <v>2.1336</v>
      </c>
      <c r="B7" s="14">
        <v>7</v>
      </c>
      <c r="C7" s="13">
        <f t="shared" si="0"/>
        <v>2.1336</v>
      </c>
      <c r="D7" s="14">
        <f t="shared" si="1"/>
        <v>7</v>
      </c>
      <c r="E7" s="14">
        <v>2</v>
      </c>
      <c r="F7" s="14">
        <v>10.7</v>
      </c>
      <c r="G7" s="14">
        <v>12.3</v>
      </c>
      <c r="H7" s="14">
        <v>13.8</v>
      </c>
      <c r="I7" s="14">
        <v>137</v>
      </c>
      <c r="J7" s="14">
        <v>145</v>
      </c>
      <c r="K7" s="14">
        <v>151</v>
      </c>
      <c r="L7" s="14">
        <v>158</v>
      </c>
      <c r="M7" s="14">
        <v>168</v>
      </c>
      <c r="N7" s="14">
        <v>175</v>
      </c>
      <c r="O7" s="13">
        <f t="shared" si="2"/>
        <v>1.9811999999999999</v>
      </c>
      <c r="P7" s="14">
        <f t="shared" si="3"/>
        <v>6.5</v>
      </c>
      <c r="Q7" s="58">
        <v>23.2</v>
      </c>
      <c r="R7" s="68"/>
      <c r="S7"/>
      <c r="T7" s="68"/>
    </row>
    <row r="8" spans="1:20" ht="12.75">
      <c r="A8" s="13">
        <f t="shared" si="4"/>
        <v>2.4383999999999997</v>
      </c>
      <c r="B8" s="14">
        <v>8</v>
      </c>
      <c r="C8" s="13">
        <f t="shared" si="0"/>
        <v>2.4383999999999997</v>
      </c>
      <c r="D8" s="14">
        <f t="shared" si="1"/>
        <v>8</v>
      </c>
      <c r="E8" s="14">
        <v>2</v>
      </c>
      <c r="F8" s="14">
        <v>16.2</v>
      </c>
      <c r="G8" s="14">
        <v>18.6</v>
      </c>
      <c r="H8" s="14">
        <v>21</v>
      </c>
      <c r="I8" s="14">
        <v>215</v>
      </c>
      <c r="J8" s="14">
        <v>228</v>
      </c>
      <c r="K8" s="14">
        <v>237</v>
      </c>
      <c r="L8" s="14">
        <v>249</v>
      </c>
      <c r="M8" s="14">
        <v>265</v>
      </c>
      <c r="N8" s="14">
        <v>275</v>
      </c>
      <c r="O8" s="13">
        <f t="shared" si="2"/>
        <v>2.286</v>
      </c>
      <c r="P8" s="14">
        <f t="shared" si="3"/>
        <v>7.5</v>
      </c>
      <c r="Q8" s="58">
        <v>21.3</v>
      </c>
      <c r="R8" s="68"/>
      <c r="S8"/>
      <c r="T8" s="68"/>
    </row>
    <row r="9" spans="1:20" ht="12.75">
      <c r="A9" s="13">
        <f t="shared" si="4"/>
        <v>2.5907999999999998</v>
      </c>
      <c r="B9" s="14">
        <v>8.5</v>
      </c>
      <c r="C9" s="13">
        <f t="shared" si="0"/>
        <v>2.5907999999999998</v>
      </c>
      <c r="D9" s="14">
        <f t="shared" si="1"/>
        <v>8.5</v>
      </c>
      <c r="E9" s="14">
        <v>2</v>
      </c>
      <c r="F9" s="14">
        <v>18.5</v>
      </c>
      <c r="G9" s="14">
        <v>21.1</v>
      </c>
      <c r="H9" s="14">
        <v>23.8</v>
      </c>
      <c r="I9" s="14">
        <v>250</v>
      </c>
      <c r="J9" s="14">
        <v>266</v>
      </c>
      <c r="K9" s="14">
        <v>277</v>
      </c>
      <c r="L9" s="14">
        <v>290</v>
      </c>
      <c r="M9" s="14">
        <v>308</v>
      </c>
      <c r="N9" s="14">
        <v>321</v>
      </c>
      <c r="O9" s="13">
        <f t="shared" si="2"/>
        <v>2.4383999999999997</v>
      </c>
      <c r="P9" s="14">
        <f t="shared" si="3"/>
        <v>8</v>
      </c>
      <c r="Q9" s="58">
        <v>20.4</v>
      </c>
      <c r="R9" s="68"/>
      <c r="S9"/>
      <c r="T9" s="68"/>
    </row>
    <row r="10" spans="1:20" ht="12.75">
      <c r="A10" s="13">
        <f t="shared" si="4"/>
        <v>2.7432</v>
      </c>
      <c r="B10" s="14">
        <v>9</v>
      </c>
      <c r="C10" s="13">
        <f t="shared" si="0"/>
        <v>2.7432</v>
      </c>
      <c r="D10" s="14">
        <f t="shared" si="1"/>
        <v>9</v>
      </c>
      <c r="E10" s="14">
        <v>2</v>
      </c>
      <c r="F10" s="14">
        <v>23.5</v>
      </c>
      <c r="G10" s="14">
        <v>26.9</v>
      </c>
      <c r="H10" s="14">
        <v>30.2</v>
      </c>
      <c r="I10" s="14">
        <v>322</v>
      </c>
      <c r="J10" s="14">
        <v>342</v>
      </c>
      <c r="K10" s="14">
        <v>356</v>
      </c>
      <c r="L10" s="14">
        <v>373</v>
      </c>
      <c r="M10" s="14">
        <v>397</v>
      </c>
      <c r="N10" s="14">
        <v>413</v>
      </c>
      <c r="O10" s="13">
        <f t="shared" si="2"/>
        <v>2.5907999999999998</v>
      </c>
      <c r="P10" s="14">
        <f t="shared" si="3"/>
        <v>8.5</v>
      </c>
      <c r="Q10" s="58">
        <v>19.7</v>
      </c>
      <c r="R10" s="68"/>
      <c r="S10"/>
      <c r="T10" s="68"/>
    </row>
    <row r="11" spans="1:20" ht="12.75">
      <c r="A11" s="13">
        <f t="shared" si="4"/>
        <v>2.8956</v>
      </c>
      <c r="B11" s="14">
        <v>9.5</v>
      </c>
      <c r="C11" s="13">
        <f t="shared" si="0"/>
        <v>2.8956</v>
      </c>
      <c r="D11" s="14">
        <f t="shared" si="1"/>
        <v>9.5</v>
      </c>
      <c r="E11" s="14">
        <v>2</v>
      </c>
      <c r="F11" s="14">
        <v>26.4</v>
      </c>
      <c r="G11" s="14">
        <v>30.1</v>
      </c>
      <c r="H11" s="14">
        <v>33.9</v>
      </c>
      <c r="I11" s="14">
        <v>367</v>
      </c>
      <c r="J11" s="14">
        <v>390</v>
      </c>
      <c r="K11" s="14">
        <v>406</v>
      </c>
      <c r="L11" s="14">
        <v>425</v>
      </c>
      <c r="M11" s="14">
        <v>453</v>
      </c>
      <c r="N11" s="14">
        <v>471</v>
      </c>
      <c r="O11" s="13">
        <f t="shared" si="2"/>
        <v>2.7432</v>
      </c>
      <c r="P11" s="14">
        <f t="shared" si="3"/>
        <v>9</v>
      </c>
      <c r="Q11" s="58">
        <v>19.15</v>
      </c>
      <c r="R11" s="68"/>
      <c r="S11"/>
      <c r="T11" s="68"/>
    </row>
    <row r="12" spans="1:20" ht="12.75">
      <c r="A12" s="13">
        <f>B12*12*0.0254</f>
        <v>3.048</v>
      </c>
      <c r="B12" s="14">
        <v>10</v>
      </c>
      <c r="C12" s="13">
        <f t="shared" si="0"/>
        <v>3.048</v>
      </c>
      <c r="D12" s="14">
        <f t="shared" si="1"/>
        <v>10</v>
      </c>
      <c r="E12" s="14">
        <v>2</v>
      </c>
      <c r="F12" s="14">
        <v>32.7</v>
      </c>
      <c r="G12" s="14">
        <v>37.3</v>
      </c>
      <c r="H12" s="14">
        <v>42</v>
      </c>
      <c r="I12" s="14">
        <v>462</v>
      </c>
      <c r="J12" s="14">
        <v>491</v>
      </c>
      <c r="K12" s="14">
        <v>512</v>
      </c>
      <c r="L12" s="14">
        <v>535</v>
      </c>
      <c r="M12" s="14">
        <v>570</v>
      </c>
      <c r="N12" s="14">
        <v>593</v>
      </c>
      <c r="O12" s="13">
        <f t="shared" si="2"/>
        <v>2.8956</v>
      </c>
      <c r="P12" s="14">
        <f t="shared" si="3"/>
        <v>9.5</v>
      </c>
      <c r="Q12" s="58">
        <v>18.65</v>
      </c>
      <c r="R12" s="68"/>
      <c r="S12"/>
      <c r="T12" s="68"/>
    </row>
    <row r="13" spans="1:20" ht="12.75">
      <c r="A13" s="13">
        <f t="shared" si="4"/>
        <v>3.2003999999999997</v>
      </c>
      <c r="B13" s="14">
        <v>10.5</v>
      </c>
      <c r="C13" s="13">
        <f>D13*12*0.0254</f>
        <v>3.2003999999999997</v>
      </c>
      <c r="D13" s="14">
        <f t="shared" si="1"/>
        <v>10.5</v>
      </c>
      <c r="E13" s="14">
        <v>2</v>
      </c>
      <c r="F13" s="14">
        <v>36.1</v>
      </c>
      <c r="G13" s="14">
        <v>41.4</v>
      </c>
      <c r="H13" s="14">
        <v>46.5</v>
      </c>
      <c r="I13" s="14">
        <v>519</v>
      </c>
      <c r="J13" s="14">
        <v>552</v>
      </c>
      <c r="K13" s="14">
        <v>575</v>
      </c>
      <c r="L13" s="14">
        <v>602</v>
      </c>
      <c r="M13" s="14">
        <v>640</v>
      </c>
      <c r="N13" s="14">
        <v>667</v>
      </c>
      <c r="O13" s="13">
        <f t="shared" si="2"/>
        <v>3.048</v>
      </c>
      <c r="P13" s="14">
        <f t="shared" si="3"/>
        <v>10</v>
      </c>
      <c r="Q13" s="58">
        <v>18.15</v>
      </c>
      <c r="R13" s="68"/>
      <c r="S13"/>
      <c r="T13" s="68"/>
    </row>
    <row r="14" spans="1:20" ht="12.75">
      <c r="A14" s="13">
        <f t="shared" si="4"/>
        <v>3.3528</v>
      </c>
      <c r="B14" s="14">
        <v>11</v>
      </c>
      <c r="C14" s="13">
        <f t="shared" si="0"/>
        <v>3.3528</v>
      </c>
      <c r="D14" s="14">
        <f t="shared" si="1"/>
        <v>11</v>
      </c>
      <c r="E14" s="14">
        <v>2</v>
      </c>
      <c r="F14" s="14">
        <v>43</v>
      </c>
      <c r="G14" s="14">
        <v>49.2</v>
      </c>
      <c r="H14" s="14">
        <v>55.4</v>
      </c>
      <c r="I14" s="14">
        <v>610</v>
      </c>
      <c r="J14" s="14">
        <v>649</v>
      </c>
      <c r="K14" s="14">
        <v>676</v>
      </c>
      <c r="L14" s="14">
        <v>708</v>
      </c>
      <c r="M14" s="14">
        <v>753</v>
      </c>
      <c r="N14" s="14">
        <v>784</v>
      </c>
      <c r="O14" s="13">
        <f t="shared" si="2"/>
        <v>3.1699200000000003</v>
      </c>
      <c r="P14" s="14">
        <f aca="true" t="shared" si="5" ref="P14:P33">B14-0.6</f>
        <v>10.4</v>
      </c>
      <c r="Q14" s="58">
        <v>17.3</v>
      </c>
      <c r="R14" s="68"/>
      <c r="S14"/>
      <c r="T14" s="68"/>
    </row>
    <row r="15" spans="1:20" ht="12.75">
      <c r="A15" s="13">
        <f t="shared" si="4"/>
        <v>3.5052</v>
      </c>
      <c r="B15" s="14">
        <v>11.5</v>
      </c>
      <c r="C15" s="13">
        <f t="shared" si="0"/>
        <v>3.5052</v>
      </c>
      <c r="D15" s="14">
        <f t="shared" si="1"/>
        <v>11.5</v>
      </c>
      <c r="E15" s="14">
        <v>2</v>
      </c>
      <c r="F15" s="14">
        <v>49.1</v>
      </c>
      <c r="G15" s="14">
        <v>54</v>
      </c>
      <c r="H15" s="14">
        <v>60.6</v>
      </c>
      <c r="I15" s="14">
        <v>674</v>
      </c>
      <c r="J15" s="14">
        <v>718</v>
      </c>
      <c r="K15" s="14">
        <v>747</v>
      </c>
      <c r="L15" s="14">
        <v>782</v>
      </c>
      <c r="M15" s="14">
        <v>832</v>
      </c>
      <c r="N15" s="14">
        <v>867</v>
      </c>
      <c r="O15" s="13">
        <f t="shared" si="2"/>
        <v>3.32232</v>
      </c>
      <c r="P15" s="14">
        <f t="shared" si="5"/>
        <v>10.9</v>
      </c>
      <c r="Q15" s="58">
        <v>16.75</v>
      </c>
      <c r="R15" s="68"/>
      <c r="S15"/>
      <c r="T15" s="68"/>
    </row>
    <row r="16" spans="1:20" ht="12.75">
      <c r="A16" s="13">
        <f t="shared" si="4"/>
        <v>3.6576</v>
      </c>
      <c r="B16" s="14">
        <v>12</v>
      </c>
      <c r="C16" s="13">
        <f t="shared" si="0"/>
        <v>3.6576</v>
      </c>
      <c r="D16" s="14">
        <f t="shared" si="1"/>
        <v>12</v>
      </c>
      <c r="E16" s="14">
        <v>2</v>
      </c>
      <c r="F16" s="14">
        <v>56.4</v>
      </c>
      <c r="G16" s="14">
        <v>64.4</v>
      </c>
      <c r="H16" s="14">
        <v>72.5</v>
      </c>
      <c r="I16" s="14">
        <v>812</v>
      </c>
      <c r="J16" s="14">
        <v>864</v>
      </c>
      <c r="K16" s="14">
        <v>900</v>
      </c>
      <c r="L16" s="14">
        <v>942</v>
      </c>
      <c r="M16" s="14">
        <v>1003</v>
      </c>
      <c r="N16" s="14">
        <v>1044</v>
      </c>
      <c r="O16" s="13">
        <f t="shared" si="2"/>
        <v>3.47472</v>
      </c>
      <c r="P16" s="14">
        <f t="shared" si="5"/>
        <v>11.4</v>
      </c>
      <c r="Q16" s="58">
        <v>16.3</v>
      </c>
      <c r="R16" s="68"/>
      <c r="S16"/>
      <c r="T16" s="68"/>
    </row>
    <row r="17" spans="1:20" ht="12.75">
      <c r="A17" s="13">
        <f t="shared" si="4"/>
        <v>3.81</v>
      </c>
      <c r="B17" s="14">
        <v>12.5</v>
      </c>
      <c r="C17" s="13">
        <f t="shared" si="0"/>
        <v>3.81</v>
      </c>
      <c r="D17" s="14">
        <f t="shared" si="1"/>
        <v>12.5</v>
      </c>
      <c r="E17" s="14">
        <v>2</v>
      </c>
      <c r="F17" s="14">
        <v>61.4</v>
      </c>
      <c r="G17" s="14">
        <v>70.2</v>
      </c>
      <c r="H17" s="14">
        <v>79</v>
      </c>
      <c r="I17" s="14">
        <v>896</v>
      </c>
      <c r="J17" s="14">
        <v>954</v>
      </c>
      <c r="K17" s="14">
        <v>993</v>
      </c>
      <c r="L17" s="14">
        <v>1040</v>
      </c>
      <c r="M17" s="14">
        <v>1106</v>
      </c>
      <c r="N17" s="14">
        <v>1152</v>
      </c>
      <c r="O17" s="13">
        <f t="shared" si="2"/>
        <v>3.62712</v>
      </c>
      <c r="P17" s="14">
        <f t="shared" si="5"/>
        <v>11.9</v>
      </c>
      <c r="Q17" s="58">
        <v>15.95</v>
      </c>
      <c r="R17" s="68"/>
      <c r="S17"/>
      <c r="T17" s="68"/>
    </row>
    <row r="18" spans="1:20" ht="12.75">
      <c r="A18" s="13">
        <f t="shared" si="4"/>
        <v>3.9623999999999997</v>
      </c>
      <c r="B18" s="14">
        <v>13</v>
      </c>
      <c r="C18" s="13">
        <f t="shared" si="0"/>
        <v>3.9623999999999997</v>
      </c>
      <c r="D18" s="14">
        <f t="shared" si="1"/>
        <v>13</v>
      </c>
      <c r="E18" s="14">
        <v>2</v>
      </c>
      <c r="F18" s="14">
        <v>72.3</v>
      </c>
      <c r="G18" s="14">
        <v>82.7</v>
      </c>
      <c r="H18" s="14">
        <v>92.6</v>
      </c>
      <c r="I18" s="14">
        <v>1063</v>
      </c>
      <c r="J18" s="14">
        <v>1130</v>
      </c>
      <c r="K18" s="14">
        <v>1177</v>
      </c>
      <c r="L18" s="14">
        <v>1233</v>
      </c>
      <c r="M18" s="14">
        <v>1311</v>
      </c>
      <c r="N18" s="14">
        <v>1365</v>
      </c>
      <c r="O18" s="13">
        <f t="shared" si="2"/>
        <v>3.77952</v>
      </c>
      <c r="P18" s="14">
        <f t="shared" si="5"/>
        <v>12.4</v>
      </c>
      <c r="Q18" s="58">
        <v>15.6</v>
      </c>
      <c r="R18" s="68"/>
      <c r="S18"/>
      <c r="T18" s="68"/>
    </row>
    <row r="19" spans="1:20" ht="12.75">
      <c r="A19" s="13">
        <f t="shared" si="4"/>
        <v>4.1148</v>
      </c>
      <c r="B19" s="14">
        <v>13.5</v>
      </c>
      <c r="C19" s="13">
        <f t="shared" si="0"/>
        <v>4.1148</v>
      </c>
      <c r="D19" s="14">
        <f t="shared" si="1"/>
        <v>13.5</v>
      </c>
      <c r="E19" s="14">
        <v>2.5</v>
      </c>
      <c r="F19" s="14">
        <v>78.2</v>
      </c>
      <c r="G19" s="14">
        <v>89.4</v>
      </c>
      <c r="H19" s="14">
        <v>99.8</v>
      </c>
      <c r="I19" s="14">
        <v>1189</v>
      </c>
      <c r="J19" s="14">
        <v>1266</v>
      </c>
      <c r="K19" s="14">
        <v>1321</v>
      </c>
      <c r="L19" s="14">
        <v>1379</v>
      </c>
      <c r="M19" s="14">
        <v>1409</v>
      </c>
      <c r="N19" s="14">
        <v>1532</v>
      </c>
      <c r="O19" s="13">
        <f t="shared" si="2"/>
        <v>3.9319200000000003</v>
      </c>
      <c r="P19" s="14">
        <f t="shared" si="5"/>
        <v>12.9</v>
      </c>
      <c r="Q19" s="58">
        <v>15.3</v>
      </c>
      <c r="R19" s="68"/>
      <c r="S19"/>
      <c r="T19" s="68"/>
    </row>
    <row r="20" spans="1:20" ht="12.75">
      <c r="A20" s="13">
        <f t="shared" si="4"/>
        <v>4.2672</v>
      </c>
      <c r="B20" s="14">
        <v>14</v>
      </c>
      <c r="C20" s="13">
        <f t="shared" si="0"/>
        <v>4.2672</v>
      </c>
      <c r="D20" s="14">
        <f t="shared" si="1"/>
        <v>14</v>
      </c>
      <c r="E20" s="14">
        <v>2.5</v>
      </c>
      <c r="F20" s="14">
        <v>90.7</v>
      </c>
      <c r="G20" s="14">
        <v>104</v>
      </c>
      <c r="H20" s="14">
        <v>117</v>
      </c>
      <c r="I20" s="14">
        <v>1375</v>
      </c>
      <c r="J20" s="14">
        <v>1464</v>
      </c>
      <c r="K20" s="14">
        <v>1527</v>
      </c>
      <c r="L20" s="14">
        <v>1595</v>
      </c>
      <c r="M20" s="14">
        <v>1699</v>
      </c>
      <c r="N20" s="14">
        <v>1771</v>
      </c>
      <c r="O20" s="13">
        <f t="shared" si="2"/>
        <v>4.08432</v>
      </c>
      <c r="P20" s="14">
        <f t="shared" si="5"/>
        <v>13.4</v>
      </c>
      <c r="Q20" s="58">
        <v>14.8</v>
      </c>
      <c r="R20" s="68"/>
      <c r="S20"/>
      <c r="T20" s="68"/>
    </row>
    <row r="21" spans="1:20" ht="12.75">
      <c r="A21" s="13">
        <f t="shared" si="4"/>
        <v>4.4196</v>
      </c>
      <c r="B21" s="14">
        <v>14.5</v>
      </c>
      <c r="C21" s="13">
        <f t="shared" si="0"/>
        <v>4.4196</v>
      </c>
      <c r="D21" s="14">
        <f t="shared" si="1"/>
        <v>14.5</v>
      </c>
      <c r="E21" s="14">
        <v>2.5</v>
      </c>
      <c r="F21" s="14">
        <v>98</v>
      </c>
      <c r="G21" s="14">
        <v>112</v>
      </c>
      <c r="H21" s="14">
        <v>126</v>
      </c>
      <c r="I21" s="14">
        <v>1492</v>
      </c>
      <c r="J21" s="14">
        <v>1588</v>
      </c>
      <c r="K21" s="14">
        <v>1656</v>
      </c>
      <c r="L21" s="14">
        <v>1730</v>
      </c>
      <c r="M21" s="14">
        <v>1842</v>
      </c>
      <c r="N21" s="14">
        <v>1921</v>
      </c>
      <c r="O21" s="13">
        <f t="shared" si="2"/>
        <v>4.23672</v>
      </c>
      <c r="P21" s="14">
        <f t="shared" si="5"/>
        <v>13.9</v>
      </c>
      <c r="Q21" s="58">
        <v>14.55</v>
      </c>
      <c r="R21" s="68"/>
      <c r="S21"/>
      <c r="T21" s="68"/>
    </row>
    <row r="22" spans="1:20" ht="12.75">
      <c r="A22" s="13">
        <f t="shared" si="4"/>
        <v>4.572</v>
      </c>
      <c r="B22" s="14">
        <v>15</v>
      </c>
      <c r="C22" s="13">
        <f t="shared" si="0"/>
        <v>4.572</v>
      </c>
      <c r="D22" s="14">
        <f t="shared" si="1"/>
        <v>15</v>
      </c>
      <c r="E22" s="14">
        <v>2.5</v>
      </c>
      <c r="F22" s="14">
        <v>113</v>
      </c>
      <c r="G22" s="14">
        <v>129</v>
      </c>
      <c r="H22" s="14">
        <v>144</v>
      </c>
      <c r="I22" s="14">
        <v>1707</v>
      </c>
      <c r="J22" s="14">
        <v>1817</v>
      </c>
      <c r="K22" s="14">
        <v>1893</v>
      </c>
      <c r="L22" s="14">
        <v>1980</v>
      </c>
      <c r="M22" s="14">
        <v>2107</v>
      </c>
      <c r="N22" s="14">
        <v>2196</v>
      </c>
      <c r="O22" s="13">
        <f t="shared" si="2"/>
        <v>4.38912</v>
      </c>
      <c r="P22" s="14">
        <f t="shared" si="5"/>
        <v>14.4</v>
      </c>
      <c r="Q22" s="58">
        <v>14.1</v>
      </c>
      <c r="R22" s="68"/>
      <c r="S22"/>
      <c r="T22" s="68"/>
    </row>
    <row r="23" spans="1:20" ht="12.75">
      <c r="A23" s="13">
        <f t="shared" si="4"/>
        <v>4.7244</v>
      </c>
      <c r="B23" s="14">
        <v>15.5</v>
      </c>
      <c r="C23" s="13">
        <f t="shared" si="0"/>
        <v>4.7244</v>
      </c>
      <c r="D23" s="14">
        <f t="shared" si="1"/>
        <v>15.5</v>
      </c>
      <c r="E23" s="14">
        <v>2.5</v>
      </c>
      <c r="F23" s="14">
        <v>121</v>
      </c>
      <c r="G23" s="14">
        <v>138</v>
      </c>
      <c r="H23" s="14">
        <v>155</v>
      </c>
      <c r="I23" s="14">
        <v>1838</v>
      </c>
      <c r="J23" s="14">
        <v>1956</v>
      </c>
      <c r="K23" s="14">
        <v>2037</v>
      </c>
      <c r="L23" s="14">
        <v>2132</v>
      </c>
      <c r="M23" s="14">
        <v>2234</v>
      </c>
      <c r="N23" s="14">
        <v>2363</v>
      </c>
      <c r="O23" s="13">
        <f t="shared" si="2"/>
        <v>4.54152</v>
      </c>
      <c r="P23" s="14">
        <f t="shared" si="5"/>
        <v>14.9</v>
      </c>
      <c r="Q23" s="58">
        <v>13.85</v>
      </c>
      <c r="R23" s="68"/>
      <c r="S23" s="68"/>
      <c r="T23" s="68"/>
    </row>
    <row r="24" spans="1:20" ht="12.75">
      <c r="A24" s="13">
        <f t="shared" si="4"/>
        <v>4.876799999999999</v>
      </c>
      <c r="B24" s="14">
        <v>16</v>
      </c>
      <c r="C24" s="13">
        <f t="shared" si="0"/>
        <v>4.876799999999999</v>
      </c>
      <c r="D24" s="14">
        <f t="shared" si="1"/>
        <v>16</v>
      </c>
      <c r="E24" s="14">
        <v>2.5</v>
      </c>
      <c r="F24" s="14">
        <v>137</v>
      </c>
      <c r="G24" s="14">
        <v>157</v>
      </c>
      <c r="H24" s="14">
        <v>179</v>
      </c>
      <c r="I24" s="14">
        <v>2084</v>
      </c>
      <c r="J24" s="14">
        <v>2217</v>
      </c>
      <c r="K24" s="14">
        <v>2309</v>
      </c>
      <c r="L24" s="14">
        <v>2417</v>
      </c>
      <c r="M24" s="14">
        <v>2521</v>
      </c>
      <c r="N24" s="14">
        <v>2678</v>
      </c>
      <c r="O24" s="13">
        <f t="shared" si="2"/>
        <v>4.69392</v>
      </c>
      <c r="P24" s="14">
        <f t="shared" si="5"/>
        <v>15.4</v>
      </c>
      <c r="Q24" s="58">
        <v>13.45</v>
      </c>
      <c r="R24" s="68"/>
      <c r="S24" s="68"/>
      <c r="T24" s="68"/>
    </row>
    <row r="25" spans="1:20" ht="12.75">
      <c r="A25" s="13">
        <f t="shared" si="4"/>
        <v>5.0291999999999994</v>
      </c>
      <c r="B25" s="14">
        <v>16.5</v>
      </c>
      <c r="C25" s="13">
        <f t="shared" si="0"/>
        <v>5.0291999999999994</v>
      </c>
      <c r="D25" s="14">
        <f t="shared" si="1"/>
        <v>16.5</v>
      </c>
      <c r="E25" s="14">
        <v>2.5</v>
      </c>
      <c r="F25" s="14">
        <v>146</v>
      </c>
      <c r="G25" s="14">
        <v>167</v>
      </c>
      <c r="H25" s="14">
        <v>188</v>
      </c>
      <c r="I25" s="14">
        <v>2229</v>
      </c>
      <c r="J25" s="14">
        <v>2370</v>
      </c>
      <c r="K25" s="14">
        <v>2468</v>
      </c>
      <c r="L25" s="14">
        <v>2585</v>
      </c>
      <c r="M25" s="14">
        <v>2750</v>
      </c>
      <c r="N25" s="14">
        <v>2803</v>
      </c>
      <c r="O25" s="13">
        <f t="shared" si="2"/>
        <v>4.84632</v>
      </c>
      <c r="P25" s="14">
        <f t="shared" si="5"/>
        <v>15.9</v>
      </c>
      <c r="Q25" s="58">
        <v>13.2</v>
      </c>
      <c r="R25" s="69"/>
      <c r="S25" s="68"/>
      <c r="T25" s="68"/>
    </row>
    <row r="26" spans="1:20" ht="12.75">
      <c r="A26" s="13">
        <f t="shared" si="4"/>
        <v>5.1815999999999995</v>
      </c>
      <c r="B26" s="14">
        <v>17</v>
      </c>
      <c r="C26" s="13">
        <f t="shared" si="0"/>
        <v>5.1815999999999995</v>
      </c>
      <c r="D26" s="14">
        <f t="shared" si="1"/>
        <v>17</v>
      </c>
      <c r="E26" s="14">
        <v>3</v>
      </c>
      <c r="F26" s="14">
        <v>165</v>
      </c>
      <c r="G26" s="14">
        <v>189</v>
      </c>
      <c r="H26" s="14">
        <v>212</v>
      </c>
      <c r="I26" s="14">
        <v>2595</v>
      </c>
      <c r="J26" s="14">
        <v>2764</v>
      </c>
      <c r="K26" s="14">
        <v>2883</v>
      </c>
      <c r="L26" s="14">
        <v>3010</v>
      </c>
      <c r="M26" s="14">
        <v>3206</v>
      </c>
      <c r="N26" s="14">
        <v>3344</v>
      </c>
      <c r="O26" s="13">
        <f t="shared" si="2"/>
        <v>4.99872</v>
      </c>
      <c r="P26" s="14">
        <f t="shared" si="5"/>
        <v>16.4</v>
      </c>
      <c r="Q26" s="58">
        <v>13</v>
      </c>
      <c r="R26" s="69"/>
      <c r="S26" s="68"/>
      <c r="T26" s="68"/>
    </row>
    <row r="27" spans="1:20" ht="12.75">
      <c r="A27" s="13">
        <f t="shared" si="4"/>
        <v>5.334</v>
      </c>
      <c r="B27" s="14">
        <v>17.5</v>
      </c>
      <c r="C27" s="13">
        <f t="shared" si="0"/>
        <v>5.334</v>
      </c>
      <c r="D27" s="14">
        <f t="shared" si="1"/>
        <v>17.5</v>
      </c>
      <c r="E27" s="14">
        <v>3</v>
      </c>
      <c r="F27" s="14">
        <v>176</v>
      </c>
      <c r="G27" s="14">
        <v>201</v>
      </c>
      <c r="H27" s="14">
        <v>226</v>
      </c>
      <c r="I27" s="14">
        <v>2750</v>
      </c>
      <c r="J27" s="14">
        <v>2929</v>
      </c>
      <c r="K27" s="14">
        <v>3053</v>
      </c>
      <c r="L27" s="14">
        <v>3190</v>
      </c>
      <c r="M27" s="14">
        <v>3397</v>
      </c>
      <c r="N27" s="14">
        <v>3542</v>
      </c>
      <c r="O27" s="13">
        <f t="shared" si="2"/>
        <v>5.15112</v>
      </c>
      <c r="P27" s="14">
        <f t="shared" si="5"/>
        <v>16.9</v>
      </c>
      <c r="Q27" s="58">
        <v>12.7</v>
      </c>
      <c r="R27" s="69"/>
      <c r="S27" s="68"/>
      <c r="T27" s="68"/>
    </row>
    <row r="28" spans="1:20" ht="12.75">
      <c r="A28" s="13">
        <f t="shared" si="4"/>
        <v>5.4864</v>
      </c>
      <c r="B28" s="14">
        <v>18</v>
      </c>
      <c r="C28" s="13">
        <f t="shared" si="0"/>
        <v>5.4864</v>
      </c>
      <c r="D28" s="14">
        <f t="shared" si="1"/>
        <v>18</v>
      </c>
      <c r="E28" s="14">
        <v>3</v>
      </c>
      <c r="F28" s="14">
        <v>197</v>
      </c>
      <c r="G28" s="14">
        <v>225</v>
      </c>
      <c r="H28" s="14">
        <v>253</v>
      </c>
      <c r="I28" s="14">
        <v>3077</v>
      </c>
      <c r="J28" s="14">
        <v>3276</v>
      </c>
      <c r="K28" s="14">
        <v>3414</v>
      </c>
      <c r="L28" s="14">
        <v>3560</v>
      </c>
      <c r="M28" s="14">
        <v>3800</v>
      </c>
      <c r="N28" s="14">
        <v>3961</v>
      </c>
      <c r="O28" s="13">
        <f t="shared" si="2"/>
        <v>5.30352</v>
      </c>
      <c r="P28" s="14">
        <f t="shared" si="5"/>
        <v>17.4</v>
      </c>
      <c r="Q28" s="58">
        <v>12.4</v>
      </c>
      <c r="R28" s="69"/>
      <c r="S28" s="68"/>
      <c r="T28" s="68"/>
    </row>
    <row r="29" spans="1:20" ht="12.75">
      <c r="A29" s="13">
        <f t="shared" si="4"/>
        <v>5.7912</v>
      </c>
      <c r="B29" s="14">
        <v>19</v>
      </c>
      <c r="C29" s="13">
        <f t="shared" si="0"/>
        <v>5.7912</v>
      </c>
      <c r="D29" s="14">
        <f t="shared" si="1"/>
        <v>19</v>
      </c>
      <c r="E29" s="14">
        <v>3</v>
      </c>
      <c r="F29" s="15">
        <f aca="true" t="shared" si="6" ref="F29:F36">0.0235*($B29)^3.1263</f>
        <v>233.7950139637712</v>
      </c>
      <c r="G29" s="15">
        <f>0.0267*($B29)^3.1276</f>
        <v>266.64965352012536</v>
      </c>
      <c r="H29" s="15">
        <f>0.0302*($B29)^3.1256</f>
        <v>299.83283979572974</v>
      </c>
      <c r="I29" s="15">
        <f aca="true" t="shared" si="7" ref="I29:I36">0.186*($B29)^3.3677</f>
        <v>3766.7903239845746</v>
      </c>
      <c r="J29" s="15">
        <f aca="true" t="shared" si="8" ref="J29:J36">0.19*($B29)^3.3839</f>
        <v>4035.7839720453753</v>
      </c>
      <c r="K29" s="15">
        <f aca="true" t="shared" si="9" ref="K29:K36">0.1942*($B29)^3.3914</f>
        <v>4217.102799372313</v>
      </c>
      <c r="L29" s="15">
        <f aca="true" t="shared" si="10" ref="L29:L36">0.214*($B29)^3.3707</f>
        <v>4372.285736236187</v>
      </c>
      <c r="M29" s="15">
        <f aca="true" t="shared" si="11" ref="M29:M36">0.2235*($B29)^3.3769</f>
        <v>4650.509785295306</v>
      </c>
      <c r="N29" s="15">
        <f aca="true" t="shared" si="12" ref="N29:N36">0.2416*($B29)^3.3633</f>
        <v>4829.797429519391</v>
      </c>
      <c r="O29" s="13">
        <f t="shared" si="2"/>
        <v>5.608319999999999</v>
      </c>
      <c r="P29" s="14">
        <f t="shared" si="5"/>
        <v>18.4</v>
      </c>
      <c r="Q29" s="58">
        <f aca="true" t="shared" si="13" ref="Q29:Q36">Q28-0.3</f>
        <v>12.1</v>
      </c>
      <c r="R29" s="69"/>
      <c r="S29" s="68"/>
      <c r="T29" s="68"/>
    </row>
    <row r="30" spans="1:20" ht="12.75">
      <c r="A30" s="13">
        <f t="shared" si="4"/>
        <v>6.096</v>
      </c>
      <c r="B30" s="14">
        <v>20</v>
      </c>
      <c r="C30" s="13">
        <f t="shared" si="0"/>
        <v>6.096</v>
      </c>
      <c r="D30" s="14">
        <f t="shared" si="1"/>
        <v>20</v>
      </c>
      <c r="E30" s="14">
        <v>3</v>
      </c>
      <c r="F30" s="15">
        <f t="shared" si="6"/>
        <v>274.4592913831609</v>
      </c>
      <c r="G30" s="15">
        <f aca="true" t="shared" si="14" ref="G30:H36">0.0235*($B30)^3.1263</f>
        <v>274.4592913831609</v>
      </c>
      <c r="H30" s="15">
        <f t="shared" si="14"/>
        <v>274.4592913831609</v>
      </c>
      <c r="I30" s="15">
        <f t="shared" si="7"/>
        <v>4477.047072042722</v>
      </c>
      <c r="J30" s="15">
        <f t="shared" si="8"/>
        <v>4800.749034893211</v>
      </c>
      <c r="K30" s="15">
        <f t="shared" si="9"/>
        <v>5018.366239447623</v>
      </c>
      <c r="L30" s="15">
        <f t="shared" si="10"/>
        <v>5197.512945824291</v>
      </c>
      <c r="M30" s="15">
        <f t="shared" si="11"/>
        <v>5530.00749381634</v>
      </c>
      <c r="N30" s="15">
        <f t="shared" si="12"/>
        <v>5739.196762774403</v>
      </c>
      <c r="O30" s="13">
        <f t="shared" si="2"/>
        <v>5.913119999999999</v>
      </c>
      <c r="P30" s="14">
        <f t="shared" si="5"/>
        <v>19.4</v>
      </c>
      <c r="Q30" s="58">
        <f t="shared" si="13"/>
        <v>11.799999999999999</v>
      </c>
      <c r="R30" s="69"/>
      <c r="S30" s="68"/>
      <c r="T30" s="68"/>
    </row>
    <row r="31" spans="1:20" ht="12.75">
      <c r="A31" s="13">
        <f>B31*12*0.0254</f>
        <v>6.400799999999999</v>
      </c>
      <c r="B31" s="14">
        <v>21</v>
      </c>
      <c r="C31" s="13">
        <f>D31*12*0.0254</f>
        <v>6.400799999999999</v>
      </c>
      <c r="D31" s="14">
        <f t="shared" si="1"/>
        <v>21</v>
      </c>
      <c r="E31" s="14">
        <v>3</v>
      </c>
      <c r="F31" s="15">
        <f>0.0235*($B31)^3.1263</f>
        <v>319.684841194661</v>
      </c>
      <c r="G31" s="15">
        <f>0.0235*($B31)^3.1263</f>
        <v>319.684841194661</v>
      </c>
      <c r="H31" s="15">
        <f>0.0235*($B31)^3.1263</f>
        <v>319.684841194661</v>
      </c>
      <c r="I31" s="15">
        <f>0.186*($B31)^3.3677</f>
        <v>5276.559783828149</v>
      </c>
      <c r="J31" s="15">
        <f t="shared" si="8"/>
        <v>5662.542471170604</v>
      </c>
      <c r="K31" s="15">
        <f>0.1942*($B31)^3.3914</f>
        <v>5921.391033611447</v>
      </c>
      <c r="L31" s="15">
        <f>0.214*($B31)^3.3707</f>
        <v>6126.58340358083</v>
      </c>
      <c r="M31" s="15">
        <f t="shared" si="11"/>
        <v>6520.484454642871</v>
      </c>
      <c r="N31" s="15">
        <f t="shared" si="12"/>
        <v>6762.652690310837</v>
      </c>
      <c r="O31" s="13">
        <f t="shared" si="2"/>
        <v>6.2179199999999994</v>
      </c>
      <c r="P31" s="14">
        <f t="shared" si="5"/>
        <v>20.4</v>
      </c>
      <c r="Q31" s="58">
        <f t="shared" si="13"/>
        <v>11.499999999999998</v>
      </c>
      <c r="R31" s="69"/>
      <c r="S31" s="68"/>
      <c r="T31" s="68"/>
    </row>
    <row r="32" spans="1:20" ht="12.75">
      <c r="A32" s="13">
        <f t="shared" si="4"/>
        <v>6.7056</v>
      </c>
      <c r="B32" s="14">
        <v>22</v>
      </c>
      <c r="C32" s="13">
        <f t="shared" si="0"/>
        <v>6.7056</v>
      </c>
      <c r="D32" s="14">
        <f t="shared" si="1"/>
        <v>22</v>
      </c>
      <c r="E32" s="14">
        <v>3</v>
      </c>
      <c r="F32" s="15">
        <f t="shared" si="6"/>
        <v>369.72931769196884</v>
      </c>
      <c r="G32" s="15">
        <f t="shared" si="14"/>
        <v>369.72931769196884</v>
      </c>
      <c r="H32" s="15">
        <f t="shared" si="14"/>
        <v>369.72931769196884</v>
      </c>
      <c r="I32" s="15">
        <f t="shared" si="7"/>
        <v>6171.486828316652</v>
      </c>
      <c r="J32" s="15">
        <f t="shared" si="8"/>
        <v>6627.926910471698</v>
      </c>
      <c r="K32" s="15">
        <f t="shared" si="9"/>
        <v>6933.324154806796</v>
      </c>
      <c r="L32" s="15">
        <f>0.214*($B32)^3.3707</f>
        <v>7166.678191585715</v>
      </c>
      <c r="M32" s="15">
        <f>0.2235*($B32)^3.3769</f>
        <v>7629.651099817529</v>
      </c>
      <c r="N32" s="15">
        <f t="shared" si="12"/>
        <v>7908.008589421526</v>
      </c>
      <c r="O32" s="13">
        <f t="shared" si="2"/>
        <v>6.522719999999999</v>
      </c>
      <c r="P32" s="14">
        <f t="shared" si="5"/>
        <v>21.4</v>
      </c>
      <c r="Q32" s="58">
        <f t="shared" si="13"/>
        <v>11.199999999999998</v>
      </c>
      <c r="R32" s="69"/>
      <c r="S32" s="68"/>
      <c r="T32" s="68"/>
    </row>
    <row r="33" spans="1:20" ht="12.75">
      <c r="A33" s="13">
        <f t="shared" si="4"/>
        <v>7.0104</v>
      </c>
      <c r="B33" s="14">
        <v>23</v>
      </c>
      <c r="C33" s="13">
        <f t="shared" si="0"/>
        <v>7.0104</v>
      </c>
      <c r="D33" s="14">
        <f t="shared" si="1"/>
        <v>23</v>
      </c>
      <c r="E33" s="14">
        <v>3</v>
      </c>
      <c r="F33" s="15">
        <f t="shared" si="6"/>
        <v>424.8519305133235</v>
      </c>
      <c r="G33" s="15">
        <f t="shared" si="14"/>
        <v>424.8519305133235</v>
      </c>
      <c r="H33" s="15">
        <f t="shared" si="14"/>
        <v>424.8519305133235</v>
      </c>
      <c r="I33" s="15">
        <f t="shared" si="7"/>
        <v>7168.095414319531</v>
      </c>
      <c r="J33" s="15">
        <f t="shared" si="8"/>
        <v>7703.7898145045865</v>
      </c>
      <c r="K33" s="15">
        <f t="shared" si="9"/>
        <v>8061.447103620794</v>
      </c>
      <c r="L33" s="15">
        <f t="shared" si="10"/>
        <v>8325.106351084565</v>
      </c>
      <c r="M33" s="15">
        <f t="shared" si="11"/>
        <v>8865.357571084933</v>
      </c>
      <c r="N33" s="15">
        <f t="shared" si="12"/>
        <v>9183.24478438767</v>
      </c>
      <c r="O33" s="13">
        <f t="shared" si="2"/>
        <v>6.827519999999999</v>
      </c>
      <c r="P33" s="14">
        <f t="shared" si="5"/>
        <v>22.4</v>
      </c>
      <c r="Q33" s="58">
        <f t="shared" si="13"/>
        <v>10.899999999999997</v>
      </c>
      <c r="R33" s="69"/>
      <c r="S33" s="68"/>
      <c r="T33" s="68"/>
    </row>
    <row r="34" spans="1:20" ht="12.75">
      <c r="A34" s="13">
        <f t="shared" si="4"/>
        <v>7.3152</v>
      </c>
      <c r="B34" s="14">
        <v>24</v>
      </c>
      <c r="C34" s="13">
        <f t="shared" si="0"/>
        <v>7.3152</v>
      </c>
      <c r="D34" s="14">
        <f t="shared" si="1"/>
        <v>24</v>
      </c>
      <c r="E34" s="14">
        <v>3</v>
      </c>
      <c r="F34" s="15">
        <f t="shared" si="6"/>
        <v>485.3133826103784</v>
      </c>
      <c r="G34" s="15">
        <f t="shared" si="14"/>
        <v>485.3133826103784</v>
      </c>
      <c r="H34" s="15">
        <f t="shared" si="14"/>
        <v>485.3133826103784</v>
      </c>
      <c r="I34" s="15">
        <f t="shared" si="7"/>
        <v>8272.758431957174</v>
      </c>
      <c r="J34" s="15">
        <f t="shared" si="8"/>
        <v>8897.139945999452</v>
      </c>
      <c r="K34" s="15">
        <f t="shared" si="9"/>
        <v>9313.1721486285</v>
      </c>
      <c r="L34" s="15">
        <f t="shared" si="10"/>
        <v>9609.301186489733</v>
      </c>
      <c r="M34" s="15">
        <f t="shared" si="11"/>
        <v>10235.589723688887</v>
      </c>
      <c r="N34" s="15">
        <f t="shared" si="12"/>
        <v>10596.47454502439</v>
      </c>
      <c r="O34" s="13">
        <f t="shared" si="2"/>
        <v>7.132319999999998</v>
      </c>
      <c r="P34" s="14">
        <f>B34-0.6</f>
        <v>23.4</v>
      </c>
      <c r="Q34" s="58">
        <f t="shared" si="13"/>
        <v>10.599999999999996</v>
      </c>
      <c r="R34" s="69"/>
      <c r="S34" s="68"/>
      <c r="T34" s="68"/>
    </row>
    <row r="35" spans="1:20" ht="12.75">
      <c r="A35" s="13">
        <f t="shared" si="4"/>
        <v>7.62</v>
      </c>
      <c r="B35" s="14">
        <v>25</v>
      </c>
      <c r="C35" s="13">
        <f t="shared" si="0"/>
        <v>7.62</v>
      </c>
      <c r="D35" s="14">
        <f t="shared" si="1"/>
        <v>25</v>
      </c>
      <c r="E35" s="14">
        <v>3</v>
      </c>
      <c r="F35" s="15">
        <f t="shared" si="6"/>
        <v>551.3758132943441</v>
      </c>
      <c r="G35" s="15">
        <f t="shared" si="14"/>
        <v>551.3758132943441</v>
      </c>
      <c r="H35" s="15">
        <f t="shared" si="14"/>
        <v>551.3758132943441</v>
      </c>
      <c r="I35" s="15">
        <f t="shared" si="7"/>
        <v>9491.9515205316</v>
      </c>
      <c r="J35" s="15">
        <f t="shared" si="8"/>
        <v>10215.104088296715</v>
      </c>
      <c r="K35" s="15">
        <f t="shared" si="9"/>
        <v>10696.03883244745</v>
      </c>
      <c r="L35" s="15">
        <f t="shared" si="10"/>
        <v>11026.816833835781</v>
      </c>
      <c r="M35" s="15">
        <f t="shared" si="11"/>
        <v>11748.465415054543</v>
      </c>
      <c r="N35" s="15">
        <f t="shared" si="12"/>
        <v>12155.940372791021</v>
      </c>
      <c r="O35" s="13">
        <f>P35*12*0.0254</f>
        <v>7.437119999999998</v>
      </c>
      <c r="P35" s="14">
        <f>B35-0.6</f>
        <v>24.4</v>
      </c>
      <c r="Q35" s="58">
        <f t="shared" si="13"/>
        <v>10.299999999999995</v>
      </c>
      <c r="R35" s="69"/>
      <c r="S35" s="68"/>
      <c r="T35" s="68"/>
    </row>
    <row r="36" spans="1:20" ht="12.75">
      <c r="A36" s="13">
        <f t="shared" si="4"/>
        <v>7.924799999999999</v>
      </c>
      <c r="B36" s="14">
        <v>26</v>
      </c>
      <c r="C36" s="13">
        <f t="shared" si="0"/>
        <v>7.924799999999999</v>
      </c>
      <c r="D36" s="14">
        <f t="shared" si="1"/>
        <v>26</v>
      </c>
      <c r="E36" s="14">
        <v>3</v>
      </c>
      <c r="F36" s="15">
        <f t="shared" si="6"/>
        <v>623.3027457483412</v>
      </c>
      <c r="G36" s="15">
        <f t="shared" si="14"/>
        <v>623.3027457483412</v>
      </c>
      <c r="H36" s="15">
        <f t="shared" si="14"/>
        <v>623.3027457483412</v>
      </c>
      <c r="I36" s="15">
        <f t="shared" si="7"/>
        <v>10832.250337713001</v>
      </c>
      <c r="J36" s="15">
        <f t="shared" si="8"/>
        <v>11664.923988001414</v>
      </c>
      <c r="K36" s="15">
        <f t="shared" si="9"/>
        <v>12217.710714313018</v>
      </c>
      <c r="L36" s="15">
        <f t="shared" si="10"/>
        <v>12585.325064419641</v>
      </c>
      <c r="M36" s="15">
        <f t="shared" si="11"/>
        <v>13412.231046894338</v>
      </c>
      <c r="N36" s="15">
        <f t="shared" si="12"/>
        <v>13870.010542553524</v>
      </c>
      <c r="O36" s="13">
        <f>P36*12*0.0254</f>
        <v>7.741919999999999</v>
      </c>
      <c r="P36" s="14">
        <f>B36-0.6</f>
        <v>25.4</v>
      </c>
      <c r="Q36" s="58">
        <f t="shared" si="13"/>
        <v>9.999999999999995</v>
      </c>
      <c r="R36" s="69"/>
      <c r="S36" s="68"/>
      <c r="T36" s="68"/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</sheetData>
  <sheetProtection password="8E6E" sheet="1" objects="1" scenarios="1" selectLockedCells="1"/>
  <mergeCells count="4">
    <mergeCell ref="O1:P1"/>
    <mergeCell ref="A1:B1"/>
    <mergeCell ref="C1:D1"/>
    <mergeCell ref="F1:H1"/>
  </mergeCells>
  <printOptions/>
  <pageMargins left="0.34" right="0.22" top="0.66" bottom="0.54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55"/>
  <sheetViews>
    <sheetView showGridLines="0" zoomScale="90" zoomScaleNormal="90" zoomScaleSheetLayoutView="100" zoomScalePageLayoutView="0" workbookViewId="0" topLeftCell="A1">
      <selection activeCell="F18" sqref="F18"/>
    </sheetView>
  </sheetViews>
  <sheetFormatPr defaultColWidth="9.140625" defaultRowHeight="12.75"/>
  <cols>
    <col min="1" max="1" width="15.140625" style="7" customWidth="1"/>
    <col min="2" max="2" width="9.140625" style="7" customWidth="1"/>
    <col min="3" max="3" width="10.7109375" style="7" customWidth="1"/>
    <col min="4" max="4" width="6.00390625" style="7" bestFit="1" customWidth="1"/>
    <col min="5" max="5" width="7.140625" style="7" customWidth="1"/>
    <col min="6" max="6" width="9.421875" style="7" customWidth="1"/>
    <col min="7" max="7" width="4.7109375" style="7" customWidth="1"/>
    <col min="8" max="9" width="9.421875" style="7" customWidth="1"/>
    <col min="10" max="14" width="9.140625" style="7" customWidth="1"/>
    <col min="15" max="19" width="9.421875" style="7" bestFit="1" customWidth="1"/>
    <col min="20" max="20" width="4.8515625" style="7" bestFit="1" customWidth="1"/>
    <col min="21" max="22" width="9.28125" style="7" bestFit="1" customWidth="1"/>
    <col min="23" max="16384" width="9.140625" style="7" customWidth="1"/>
  </cols>
  <sheetData>
    <row r="1" spans="2:11" ht="12.75">
      <c r="B1" s="21"/>
      <c r="C1" s="53"/>
      <c r="D1" s="22"/>
      <c r="E1" s="61"/>
      <c r="F1" s="61"/>
      <c r="G1" s="61"/>
      <c r="H1" s="61"/>
      <c r="I1" s="61"/>
      <c r="J1" s="61"/>
      <c r="K1" s="61"/>
    </row>
    <row r="2" spans="1:19" ht="12.75" customHeight="1">
      <c r="A2" s="173" t="s">
        <v>54</v>
      </c>
      <c r="B2" s="173"/>
      <c r="C2" s="72" t="str">
        <f>'Dimensionamento de Moinhos'!C16</f>
        <v>Bolas</v>
      </c>
      <c r="D2" s="24"/>
      <c r="E2" s="30"/>
      <c r="F2" s="7" t="s">
        <v>30</v>
      </c>
      <c r="J2" s="221" t="s">
        <v>161</v>
      </c>
      <c r="K2" s="224"/>
      <c r="L2" s="224"/>
      <c r="M2" s="218" t="s">
        <v>162</v>
      </c>
      <c r="N2" s="219"/>
      <c r="O2" s="221" t="s">
        <v>163</v>
      </c>
      <c r="P2" s="221"/>
      <c r="Q2" s="221"/>
      <c r="R2" s="218" t="s">
        <v>164</v>
      </c>
      <c r="S2" s="219"/>
    </row>
    <row r="3" spans="1:19" ht="12.75" customHeight="1">
      <c r="A3" s="173" t="s">
        <v>131</v>
      </c>
      <c r="B3" s="173"/>
      <c r="C3" s="72" t="str">
        <f>'Dimensionamento de Moinhos'!C18</f>
        <v>Overflow</v>
      </c>
      <c r="D3" s="16"/>
      <c r="E3" s="16" t="s">
        <v>89</v>
      </c>
      <c r="F3" s="16"/>
      <c r="G3" s="16"/>
      <c r="H3" s="16"/>
      <c r="I3" s="16"/>
      <c r="J3" s="224"/>
      <c r="K3" s="224"/>
      <c r="L3" s="224"/>
      <c r="M3" s="219"/>
      <c r="N3" s="219"/>
      <c r="O3" s="221"/>
      <c r="P3" s="221"/>
      <c r="Q3" s="221"/>
      <c r="R3" s="219"/>
      <c r="S3" s="219"/>
    </row>
    <row r="4" spans="2:19" ht="12.75">
      <c r="B4" s="21"/>
      <c r="C4" s="53"/>
      <c r="D4" s="22"/>
      <c r="E4" s="61"/>
      <c r="F4" s="61"/>
      <c r="G4" s="61"/>
      <c r="H4" s="61"/>
      <c r="I4" s="61"/>
      <c r="J4" s="224"/>
      <c r="K4" s="224"/>
      <c r="L4" s="224"/>
      <c r="M4" s="219"/>
      <c r="N4" s="219"/>
      <c r="O4" s="221"/>
      <c r="P4" s="221"/>
      <c r="Q4" s="221"/>
      <c r="R4" s="219"/>
      <c r="S4" s="219"/>
    </row>
    <row r="5" spans="1:22" ht="12.75" customHeight="1">
      <c r="A5" s="173" t="s">
        <v>152</v>
      </c>
      <c r="B5" s="173"/>
      <c r="C5" s="73">
        <f>'Dimensionamento de Moinhos'!C31*0.3048</f>
        <v>6.4008</v>
      </c>
      <c r="D5" s="61" t="s">
        <v>2</v>
      </c>
      <c r="E5" s="57">
        <f>VLOOKUP(C5,'Moinho de Bolas'!$A$3:$P$36,2,TRUE)</f>
        <v>21</v>
      </c>
      <c r="F5" s="7" t="s">
        <v>8</v>
      </c>
      <c r="H5" s="222" t="s">
        <v>168</v>
      </c>
      <c r="I5" s="223"/>
      <c r="J5" s="82">
        <v>0.35</v>
      </c>
      <c r="K5" s="82">
        <v>0.4</v>
      </c>
      <c r="L5" s="82">
        <v>0.45</v>
      </c>
      <c r="M5" s="82">
        <v>0.35</v>
      </c>
      <c r="N5" s="82">
        <v>0.45</v>
      </c>
      <c r="O5" s="83">
        <v>0.35</v>
      </c>
      <c r="P5" s="83">
        <v>0.4</v>
      </c>
      <c r="Q5" s="83">
        <v>0.45</v>
      </c>
      <c r="R5" s="82">
        <v>0.35</v>
      </c>
      <c r="S5" s="82">
        <v>0.45</v>
      </c>
      <c r="U5" s="222" t="s">
        <v>168</v>
      </c>
      <c r="V5" s="223"/>
    </row>
    <row r="6" spans="1:22" ht="12.75" customHeight="1">
      <c r="A6" s="173" t="s">
        <v>153</v>
      </c>
      <c r="B6" s="173"/>
      <c r="C6" s="23">
        <f>VLOOKUP(C5,'Moinho de Bolas'!$A$3:$P$36,15,TRUE)</f>
        <v>6.2179199999999994</v>
      </c>
      <c r="D6" s="61" t="s">
        <v>2</v>
      </c>
      <c r="E6" s="57">
        <f>VLOOKUP(C5,'Moinho de Bolas'!$A$3:$P$36,16,TRUE)</f>
        <v>20.4</v>
      </c>
      <c r="F6" s="7" t="s">
        <v>8</v>
      </c>
      <c r="G6" s="85">
        <v>0.9144</v>
      </c>
      <c r="H6" s="86">
        <f>J6/M6</f>
        <v>1.0522338710378025</v>
      </c>
      <c r="I6" s="88">
        <f>N6/L6</f>
        <v>1.031361000978369</v>
      </c>
      <c r="J6" s="85">
        <v>7</v>
      </c>
      <c r="K6" s="80">
        <v>7</v>
      </c>
      <c r="L6" s="80">
        <v>7</v>
      </c>
      <c r="M6" s="85">
        <v>6.652513469363997</v>
      </c>
      <c r="N6" s="80">
        <v>7.219527006848582</v>
      </c>
      <c r="O6" s="80">
        <v>8</v>
      </c>
      <c r="P6" s="80">
        <v>8</v>
      </c>
      <c r="Q6" s="80">
        <v>9</v>
      </c>
      <c r="R6" s="84">
        <v>8</v>
      </c>
      <c r="S6" s="84">
        <v>8</v>
      </c>
      <c r="T6" s="85">
        <v>0.9144</v>
      </c>
      <c r="U6" s="88">
        <f aca="true" t="shared" si="0" ref="U6:U11">O6/R6</f>
        <v>1</v>
      </c>
      <c r="V6" s="88">
        <f aca="true" t="shared" si="1" ref="V6:V11">S6/Q6</f>
        <v>0.8888888888888888</v>
      </c>
    </row>
    <row r="7" spans="1:22" ht="12.75" customHeight="1">
      <c r="A7" s="173" t="s">
        <v>154</v>
      </c>
      <c r="B7" s="173"/>
      <c r="C7" s="23">
        <f>42.305/(C6^0.5)</f>
        <v>16.965596521941826</v>
      </c>
      <c r="D7" s="61" t="s">
        <v>16</v>
      </c>
      <c r="E7" s="22"/>
      <c r="G7" s="85">
        <v>1.2191999999999998</v>
      </c>
      <c r="H7" s="86">
        <f>J7/M7</f>
        <v>0.9996221774859125</v>
      </c>
      <c r="I7" s="88">
        <f>N7/L7</f>
        <v>1</v>
      </c>
      <c r="J7" s="81">
        <v>19</v>
      </c>
      <c r="K7" s="81">
        <v>20</v>
      </c>
      <c r="L7" s="81">
        <v>21</v>
      </c>
      <c r="M7" s="80">
        <v>19.00718134103999</v>
      </c>
      <c r="N7" s="80">
        <v>21</v>
      </c>
      <c r="O7" s="81">
        <v>22</v>
      </c>
      <c r="P7" s="81">
        <v>24</v>
      </c>
      <c r="Q7" s="81">
        <v>25</v>
      </c>
      <c r="R7" s="84">
        <v>23</v>
      </c>
      <c r="S7" s="84">
        <v>25</v>
      </c>
      <c r="T7" s="85">
        <v>1.2191999999999998</v>
      </c>
      <c r="U7" s="88">
        <f t="shared" si="0"/>
        <v>0.9565217391304348</v>
      </c>
      <c r="V7" s="88">
        <f t="shared" si="1"/>
        <v>1</v>
      </c>
    </row>
    <row r="8" spans="1:22" ht="12.75" customHeight="1">
      <c r="A8" s="173" t="s">
        <v>155</v>
      </c>
      <c r="B8" s="173"/>
      <c r="C8" s="23">
        <f>IF(C2='Dimensionamento de Moinhos'!K6,1.305*VLOOKUP(E5,'Moinho de Bolas'!P3:Q36,2,TRUE)*(($E$5)^0.5),1.305*VLOOKUP(E5,'Moinho de Barras'!O3:P22,2,TRUE)*(($E$5)^0.5))</f>
        <v>68.77300474204975</v>
      </c>
      <c r="D8" s="61"/>
      <c r="E8" s="22"/>
      <c r="G8" s="85">
        <v>1.524</v>
      </c>
      <c r="H8" s="86">
        <f>J8/M8</f>
        <v>0.9767441860465116</v>
      </c>
      <c r="I8" s="88">
        <f>N8/L8</f>
        <v>0.9787234042553191</v>
      </c>
      <c r="J8" s="81">
        <v>42</v>
      </c>
      <c r="K8" s="81">
        <v>45</v>
      </c>
      <c r="L8" s="81">
        <v>47</v>
      </c>
      <c r="M8" s="84">
        <v>43</v>
      </c>
      <c r="N8" s="84">
        <v>46</v>
      </c>
      <c r="O8" s="81">
        <v>49</v>
      </c>
      <c r="P8" s="81">
        <v>52</v>
      </c>
      <c r="Q8" s="81">
        <v>54</v>
      </c>
      <c r="R8" s="84">
        <v>49</v>
      </c>
      <c r="S8" s="84">
        <v>54</v>
      </c>
      <c r="T8" s="85">
        <v>1.524</v>
      </c>
      <c r="U8" s="88">
        <f t="shared" si="0"/>
        <v>1</v>
      </c>
      <c r="V8" s="88">
        <f t="shared" si="1"/>
        <v>1</v>
      </c>
    </row>
    <row r="9" spans="1:22" ht="12.75" customHeight="1">
      <c r="A9" s="173" t="s">
        <v>156</v>
      </c>
      <c r="B9" s="173"/>
      <c r="C9" s="23">
        <f>C7*C8/100</f>
        <v>11.66775050055208</v>
      </c>
      <c r="D9" s="61" t="s">
        <v>16</v>
      </c>
      <c r="E9" s="22"/>
      <c r="F9" s="22"/>
      <c r="G9" s="85">
        <v>1.8288</v>
      </c>
      <c r="H9" s="86">
        <f aca="true" t="shared" si="2" ref="H9:H22">J9/M9</f>
        <v>0.9876543209876543</v>
      </c>
      <c r="I9" s="88">
        <f aca="true" t="shared" si="3" ref="I9:I22">N9/L9</f>
        <v>0.9887640449438202</v>
      </c>
      <c r="J9" s="81">
        <v>80</v>
      </c>
      <c r="K9" s="81">
        <v>85</v>
      </c>
      <c r="L9" s="81">
        <v>89</v>
      </c>
      <c r="M9" s="84">
        <v>81</v>
      </c>
      <c r="N9" s="84">
        <v>88</v>
      </c>
      <c r="O9" s="81">
        <v>93</v>
      </c>
      <c r="P9" s="81">
        <v>99</v>
      </c>
      <c r="Q9" s="81">
        <v>103</v>
      </c>
      <c r="R9" s="84">
        <v>94</v>
      </c>
      <c r="S9" s="84">
        <v>102</v>
      </c>
      <c r="T9" s="85">
        <v>1.8288</v>
      </c>
      <c r="U9" s="88">
        <f t="shared" si="0"/>
        <v>0.9893617021276596</v>
      </c>
      <c r="V9" s="88">
        <f t="shared" si="1"/>
        <v>0.9902912621359223</v>
      </c>
    </row>
    <row r="10" spans="1:22" ht="12.75" customHeight="1">
      <c r="A10" s="175" t="s">
        <v>157</v>
      </c>
      <c r="B10" s="175"/>
      <c r="C10" s="76">
        <v>0.4</v>
      </c>
      <c r="D10" s="24" t="s">
        <v>42</v>
      </c>
      <c r="E10" s="30"/>
      <c r="G10" s="85">
        <v>2.1336</v>
      </c>
      <c r="H10" s="86">
        <f t="shared" si="2"/>
        <v>0.9927536231884058</v>
      </c>
      <c r="I10" s="88">
        <f t="shared" si="3"/>
        <v>0.9933774834437086</v>
      </c>
      <c r="J10" s="81">
        <v>137</v>
      </c>
      <c r="K10" s="81">
        <v>145</v>
      </c>
      <c r="L10" s="81">
        <v>151</v>
      </c>
      <c r="M10" s="84">
        <v>138</v>
      </c>
      <c r="N10" s="84">
        <v>150</v>
      </c>
      <c r="O10" s="81">
        <v>158</v>
      </c>
      <c r="P10" s="81">
        <v>168</v>
      </c>
      <c r="Q10" s="81">
        <v>175</v>
      </c>
      <c r="R10" s="84">
        <v>160</v>
      </c>
      <c r="S10" s="84">
        <v>173</v>
      </c>
      <c r="T10" s="85">
        <v>2.1336</v>
      </c>
      <c r="U10" s="88">
        <f t="shared" si="0"/>
        <v>0.9875</v>
      </c>
      <c r="V10" s="88">
        <f t="shared" si="1"/>
        <v>0.9885714285714285</v>
      </c>
    </row>
    <row r="11" spans="1:22" ht="12.75" customHeight="1">
      <c r="A11" s="175" t="s">
        <v>158</v>
      </c>
      <c r="B11" s="175"/>
      <c r="C11" s="53">
        <f>IF($C$2=$M$75,VLOOKUP(E5,'Moinho de Barras'!$B$3:$O$22,IF(C10=35%,10,IF(C10=40%,11,12)),FALSE),VLOOKUP(E5,'Moinho de Bolas'!$B$3:$P$36,8+IF(C10=35%,0,IF(C10=40%,1,2))+IF($C$3=$M$126,0,3),FALSE))</f>
        <v>5662.542471170604</v>
      </c>
      <c r="D11" s="61" t="s">
        <v>7</v>
      </c>
      <c r="G11" s="85">
        <v>2.4383999999999997</v>
      </c>
      <c r="H11" s="86">
        <f t="shared" si="2"/>
        <v>0.9907834101382489</v>
      </c>
      <c r="I11" s="88">
        <f t="shared" si="3"/>
        <v>0.9915611814345991</v>
      </c>
      <c r="J11" s="81">
        <v>215</v>
      </c>
      <c r="K11" s="81">
        <v>228</v>
      </c>
      <c r="L11" s="81">
        <v>237</v>
      </c>
      <c r="M11" s="84">
        <v>217</v>
      </c>
      <c r="N11" s="84">
        <v>235</v>
      </c>
      <c r="O11" s="81">
        <v>249</v>
      </c>
      <c r="P11" s="81">
        <v>265</v>
      </c>
      <c r="Q11" s="81">
        <v>275</v>
      </c>
      <c r="R11" s="84">
        <v>252</v>
      </c>
      <c r="S11" s="84">
        <v>273</v>
      </c>
      <c r="T11" s="85">
        <v>2.4383999999999997</v>
      </c>
      <c r="U11" s="88">
        <f t="shared" si="0"/>
        <v>0.9880952380952381</v>
      </c>
      <c r="V11" s="88">
        <f t="shared" si="1"/>
        <v>0.9927272727272727</v>
      </c>
    </row>
    <row r="12" spans="1:22" ht="12.75" customHeight="1">
      <c r="A12" s="175" t="s">
        <v>159</v>
      </c>
      <c r="B12" s="175"/>
      <c r="C12" s="74">
        <f>'Dimensionamento de Moinhos'!C17</f>
        <v>0.4</v>
      </c>
      <c r="D12" s="22"/>
      <c r="E12" s="61"/>
      <c r="F12" s="96"/>
      <c r="G12" s="85">
        <v>2.5907999999999998</v>
      </c>
      <c r="H12" s="86">
        <f t="shared" si="2"/>
        <v>0.9881422924901185</v>
      </c>
      <c r="I12" s="88">
        <f t="shared" si="3"/>
        <v>0.9891696750902527</v>
      </c>
      <c r="J12" s="81">
        <v>250</v>
      </c>
      <c r="K12" s="81">
        <v>266</v>
      </c>
      <c r="L12" s="81">
        <v>277</v>
      </c>
      <c r="M12" s="84">
        <v>253</v>
      </c>
      <c r="N12" s="84">
        <v>274</v>
      </c>
      <c r="O12" s="81">
        <v>290</v>
      </c>
      <c r="P12" s="81">
        <v>308</v>
      </c>
      <c r="Q12" s="81">
        <v>321</v>
      </c>
      <c r="R12" s="84">
        <v>293</v>
      </c>
      <c r="S12" s="84">
        <v>318</v>
      </c>
      <c r="T12" s="85">
        <v>2.5907999999999998</v>
      </c>
      <c r="U12" s="88">
        <f>O12/R12</f>
        <v>0.9897610921501706</v>
      </c>
      <c r="V12" s="88">
        <f>S12/Q12</f>
        <v>0.9906542056074766</v>
      </c>
    </row>
    <row r="13" spans="1:22" ht="12.75" customHeight="1">
      <c r="A13" s="175" t="s">
        <v>160</v>
      </c>
      <c r="B13" s="175"/>
      <c r="C13" s="75">
        <f>C11*Cálculos!$B$35</f>
        <v>5662.542471170604</v>
      </c>
      <c r="D13" s="61" t="s">
        <v>7</v>
      </c>
      <c r="F13" s="53"/>
      <c r="G13" s="85">
        <v>2.7432</v>
      </c>
      <c r="H13" s="86">
        <f t="shared" si="2"/>
        <v>0.9907692307692307</v>
      </c>
      <c r="I13" s="88">
        <f t="shared" si="3"/>
        <v>0.9915730337078652</v>
      </c>
      <c r="J13" s="81">
        <v>322</v>
      </c>
      <c r="K13" s="81">
        <v>342</v>
      </c>
      <c r="L13" s="81">
        <v>356</v>
      </c>
      <c r="M13" s="84">
        <v>325</v>
      </c>
      <c r="N13" s="84">
        <v>353</v>
      </c>
      <c r="O13" s="81">
        <v>373</v>
      </c>
      <c r="P13" s="81">
        <v>397</v>
      </c>
      <c r="Q13" s="81">
        <v>413</v>
      </c>
      <c r="R13" s="84">
        <v>377</v>
      </c>
      <c r="S13" s="84">
        <v>409</v>
      </c>
      <c r="T13" s="85">
        <v>2.7432</v>
      </c>
      <c r="U13" s="88">
        <f aca="true" t="shared" si="4" ref="U13:U39">O13/R13</f>
        <v>0.9893899204244032</v>
      </c>
      <c r="V13" s="88">
        <f aca="true" t="shared" si="5" ref="V13:V39">S13/Q13</f>
        <v>0.9903147699757869</v>
      </c>
    </row>
    <row r="14" spans="1:22" ht="12.75" customHeight="1">
      <c r="A14" s="21"/>
      <c r="B14" s="21"/>
      <c r="C14" s="53"/>
      <c r="D14" s="61"/>
      <c r="E14" s="61"/>
      <c r="F14" s="61"/>
      <c r="G14" s="85">
        <v>2.8956</v>
      </c>
      <c r="H14" s="86">
        <f t="shared" si="2"/>
        <v>0.9892183288409704</v>
      </c>
      <c r="I14" s="88">
        <f t="shared" si="3"/>
        <v>0.9901477832512315</v>
      </c>
      <c r="J14" s="81">
        <v>367</v>
      </c>
      <c r="K14" s="81">
        <v>390</v>
      </c>
      <c r="L14" s="81">
        <v>406</v>
      </c>
      <c r="M14" s="84">
        <v>371</v>
      </c>
      <c r="N14" s="84">
        <v>402</v>
      </c>
      <c r="O14" s="81">
        <v>425</v>
      </c>
      <c r="P14" s="81">
        <v>453</v>
      </c>
      <c r="Q14" s="81">
        <v>471</v>
      </c>
      <c r="R14" s="84">
        <v>431</v>
      </c>
      <c r="S14" s="84">
        <v>467</v>
      </c>
      <c r="T14" s="85">
        <v>2.8956</v>
      </c>
      <c r="U14" s="88">
        <f t="shared" si="4"/>
        <v>0.9860788863109049</v>
      </c>
      <c r="V14" s="88">
        <f t="shared" si="5"/>
        <v>0.9915074309978769</v>
      </c>
    </row>
    <row r="15" spans="1:22" ht="12.75" customHeight="1">
      <c r="A15" s="21"/>
      <c r="B15" s="21"/>
      <c r="C15" s="53"/>
      <c r="D15" s="61"/>
      <c r="E15" s="61"/>
      <c r="F15" s="61"/>
      <c r="G15" s="85">
        <v>3.048</v>
      </c>
      <c r="H15" s="86">
        <f t="shared" si="2"/>
        <v>0.9892933618843683</v>
      </c>
      <c r="I15" s="88">
        <f t="shared" si="3"/>
        <v>0.98828125</v>
      </c>
      <c r="J15" s="81">
        <v>462</v>
      </c>
      <c r="K15" s="81">
        <v>491</v>
      </c>
      <c r="L15" s="81">
        <v>512</v>
      </c>
      <c r="M15" s="84">
        <v>467</v>
      </c>
      <c r="N15" s="84">
        <v>506</v>
      </c>
      <c r="O15" s="81">
        <v>535</v>
      </c>
      <c r="P15" s="81">
        <v>570</v>
      </c>
      <c r="Q15" s="81">
        <v>593</v>
      </c>
      <c r="R15" s="84">
        <v>542</v>
      </c>
      <c r="S15" s="84">
        <v>588</v>
      </c>
      <c r="T15" s="85">
        <v>3.048</v>
      </c>
      <c r="U15" s="88">
        <f t="shared" si="4"/>
        <v>0.9870848708487084</v>
      </c>
      <c r="V15" s="88">
        <f t="shared" si="5"/>
        <v>0.9915682967959528</v>
      </c>
    </row>
    <row r="16" spans="1:22" ht="12.75" customHeight="1">
      <c r="A16" s="21"/>
      <c r="B16" s="71"/>
      <c r="C16" s="89"/>
      <c r="D16" s="87"/>
      <c r="E16" s="71"/>
      <c r="F16" s="71"/>
      <c r="G16" s="85">
        <v>3.2003999999999997</v>
      </c>
      <c r="H16" s="86">
        <f t="shared" si="2"/>
        <v>0.9885714285714285</v>
      </c>
      <c r="I16" s="88">
        <f t="shared" si="3"/>
        <v>0.9895652173913043</v>
      </c>
      <c r="J16" s="80">
        <v>519</v>
      </c>
      <c r="K16" s="80">
        <v>552</v>
      </c>
      <c r="L16" s="80">
        <v>575</v>
      </c>
      <c r="M16" s="84">
        <v>525</v>
      </c>
      <c r="N16" s="84">
        <v>569</v>
      </c>
      <c r="O16" s="80">
        <v>602</v>
      </c>
      <c r="P16" s="80">
        <v>640</v>
      </c>
      <c r="Q16" s="80">
        <v>667</v>
      </c>
      <c r="R16" s="84">
        <v>608</v>
      </c>
      <c r="S16" s="84">
        <v>660</v>
      </c>
      <c r="T16" s="85">
        <v>3.2003999999999997</v>
      </c>
      <c r="U16" s="88">
        <f t="shared" si="4"/>
        <v>0.9901315789473685</v>
      </c>
      <c r="V16" s="88">
        <f t="shared" si="5"/>
        <v>0.9895052473763118</v>
      </c>
    </row>
    <row r="17" spans="1:22" ht="12.75" customHeight="1">
      <c r="A17" s="181" t="s">
        <v>166</v>
      </c>
      <c r="B17" s="181"/>
      <c r="C17" s="90">
        <f>IF(C12&gt;0.4,C13/VLOOKUP(C5,G6:I39,3,TRUE),C13*VLOOKUP(C5,G6:I39,2,TRUE))</f>
        <v>5552.637776918356</v>
      </c>
      <c r="D17" s="77"/>
      <c r="E17" s="77"/>
      <c r="F17" s="77"/>
      <c r="G17" s="85">
        <v>3.3528</v>
      </c>
      <c r="H17" s="86">
        <f t="shared" si="2"/>
        <v>0.9886547811993517</v>
      </c>
      <c r="I17" s="88">
        <f t="shared" si="3"/>
        <v>0.9896449704142012</v>
      </c>
      <c r="J17" s="80">
        <v>610</v>
      </c>
      <c r="K17" s="80">
        <v>649</v>
      </c>
      <c r="L17" s="80">
        <v>676</v>
      </c>
      <c r="M17" s="84">
        <v>617</v>
      </c>
      <c r="N17" s="84">
        <v>669</v>
      </c>
      <c r="O17" s="80">
        <v>708</v>
      </c>
      <c r="P17" s="80">
        <v>753</v>
      </c>
      <c r="Q17" s="80">
        <v>784</v>
      </c>
      <c r="R17" s="84">
        <v>716</v>
      </c>
      <c r="S17" s="84">
        <v>777</v>
      </c>
      <c r="T17" s="85">
        <v>3.3528</v>
      </c>
      <c r="U17" s="88">
        <f t="shared" si="4"/>
        <v>0.9888268156424581</v>
      </c>
      <c r="V17" s="88">
        <f t="shared" si="5"/>
        <v>0.9910714285714286</v>
      </c>
    </row>
    <row r="18" spans="1:22" ht="12.75" customHeight="1">
      <c r="A18" s="181" t="s">
        <v>167</v>
      </c>
      <c r="B18" s="181"/>
      <c r="C18" s="94">
        <f>IF(C12&gt;0.4,C13/VLOOKUP(C5,T6:V39,3,TRUE),C13*VLOOKUP(C5,T6:V39,2,TRUE))</f>
        <v>5598.198923018461</v>
      </c>
      <c r="D18" s="68"/>
      <c r="E18" s="68"/>
      <c r="F18" s="68"/>
      <c r="G18" s="85">
        <v>3.5052</v>
      </c>
      <c r="H18" s="86">
        <f t="shared" si="2"/>
        <v>0.9882697947214076</v>
      </c>
      <c r="I18" s="88">
        <f t="shared" si="3"/>
        <v>0.9919678714859438</v>
      </c>
      <c r="J18" s="80">
        <v>674</v>
      </c>
      <c r="K18" s="80">
        <v>718</v>
      </c>
      <c r="L18" s="80">
        <v>747</v>
      </c>
      <c r="M18" s="84">
        <v>682</v>
      </c>
      <c r="N18" s="84">
        <v>741</v>
      </c>
      <c r="O18" s="80">
        <v>782</v>
      </c>
      <c r="P18" s="80">
        <v>832</v>
      </c>
      <c r="Q18" s="80">
        <v>867</v>
      </c>
      <c r="R18" s="84">
        <v>791</v>
      </c>
      <c r="S18" s="84">
        <v>858</v>
      </c>
      <c r="T18" s="85">
        <v>3.5052</v>
      </c>
      <c r="U18" s="88">
        <f t="shared" si="4"/>
        <v>0.988621997471555</v>
      </c>
      <c r="V18" s="88">
        <f t="shared" si="5"/>
        <v>0.9896193771626297</v>
      </c>
    </row>
    <row r="19" spans="1:22" ht="12.75" customHeight="1">
      <c r="A19" s="181" t="s">
        <v>169</v>
      </c>
      <c r="B19" s="181"/>
      <c r="C19" s="78">
        <f>IF(C3=F2,IF(C12&gt;0.4,C13/VLOOKUP(C5,G6:I39,3,TRUE),C13*VLOOKUP(C5,G6:I39,2,TRUE)),IF(C12&gt;0.4,C13/VLOOKUP(C5,T6:V39,3,TRUE),C13*VLOOKUP(C5,T6:V39,2,TRUE)))</f>
        <v>5552.637776918356</v>
      </c>
      <c r="D19" s="68"/>
      <c r="E19" s="68"/>
      <c r="F19" s="68"/>
      <c r="G19" s="85">
        <v>3.6576</v>
      </c>
      <c r="H19" s="86">
        <f t="shared" si="2"/>
        <v>0.9890377588306942</v>
      </c>
      <c r="I19" s="88">
        <f t="shared" si="3"/>
        <v>0.99</v>
      </c>
      <c r="J19" s="80">
        <v>812</v>
      </c>
      <c r="K19" s="80">
        <v>864</v>
      </c>
      <c r="L19" s="80">
        <v>900</v>
      </c>
      <c r="M19" s="84">
        <v>821</v>
      </c>
      <c r="N19" s="84">
        <v>891</v>
      </c>
      <c r="O19" s="80">
        <v>942</v>
      </c>
      <c r="P19" s="80">
        <v>1003</v>
      </c>
      <c r="Q19" s="80">
        <v>1044</v>
      </c>
      <c r="R19" s="84">
        <v>953</v>
      </c>
      <c r="S19" s="84">
        <v>1034</v>
      </c>
      <c r="T19" s="85">
        <v>3.6576</v>
      </c>
      <c r="U19" s="88">
        <f t="shared" si="4"/>
        <v>0.9884575026232949</v>
      </c>
      <c r="V19" s="88">
        <f t="shared" si="5"/>
        <v>0.9904214559386973</v>
      </c>
    </row>
    <row r="20" spans="1:22" ht="12.75" customHeight="1">
      <c r="A20" s="21"/>
      <c r="B20" s="68"/>
      <c r="C20" s="68"/>
      <c r="D20" s="68"/>
      <c r="E20" s="68"/>
      <c r="F20" s="68"/>
      <c r="G20" s="85">
        <v>3.81</v>
      </c>
      <c r="H20" s="86">
        <f t="shared" si="2"/>
        <v>0.9878721058434399</v>
      </c>
      <c r="I20" s="88">
        <f t="shared" si="3"/>
        <v>0.9909365558912386</v>
      </c>
      <c r="J20" s="80">
        <v>896</v>
      </c>
      <c r="K20" s="80">
        <v>954</v>
      </c>
      <c r="L20" s="80">
        <v>993</v>
      </c>
      <c r="M20" s="84">
        <v>907</v>
      </c>
      <c r="N20" s="84">
        <v>984</v>
      </c>
      <c r="O20" s="80">
        <v>1040</v>
      </c>
      <c r="P20" s="80">
        <v>1106</v>
      </c>
      <c r="Q20" s="80">
        <v>1152</v>
      </c>
      <c r="R20" s="84">
        <v>1051</v>
      </c>
      <c r="S20" s="84">
        <v>1141</v>
      </c>
      <c r="T20" s="85">
        <v>3.81</v>
      </c>
      <c r="U20" s="88">
        <f t="shared" si="4"/>
        <v>0.9895337773549001</v>
      </c>
      <c r="V20" s="88">
        <f t="shared" si="5"/>
        <v>0.9904513888888888</v>
      </c>
    </row>
    <row r="21" spans="1:22" ht="12.75" customHeight="1">
      <c r="A21" s="181" t="s">
        <v>170</v>
      </c>
      <c r="B21" s="181"/>
      <c r="C21" s="78">
        <f>IF(C12=0.4,C11,IF(C3=F2,IF(C12&gt;0.4,C13/VLOOKUP(C5,G6:I39,3,TRUE),C13*VLOOKUP(C5,G6:I39,2,TRUE)),IF(C12&gt;0.4,C13/VLOOKUP(C5,T6:V39,3,TRUE),C13*VLOOKUP(C5,T6:V39,2,TRUE))))</f>
        <v>5662.542471170604</v>
      </c>
      <c r="D21" s="68"/>
      <c r="E21" s="68"/>
      <c r="F21" s="68"/>
      <c r="G21" s="91">
        <v>3.9623999999999997</v>
      </c>
      <c r="H21" s="92">
        <f t="shared" si="2"/>
        <v>0.9897579143389199</v>
      </c>
      <c r="I21" s="95">
        <f t="shared" si="3"/>
        <v>0.989804587935429</v>
      </c>
      <c r="J21" s="81">
        <v>1063</v>
      </c>
      <c r="K21" s="81">
        <v>1130</v>
      </c>
      <c r="L21" s="81">
        <v>1177</v>
      </c>
      <c r="M21" s="93">
        <v>1074</v>
      </c>
      <c r="N21" s="93">
        <v>1165</v>
      </c>
      <c r="O21" s="81">
        <v>1233</v>
      </c>
      <c r="P21" s="81">
        <v>1311</v>
      </c>
      <c r="Q21" s="81">
        <v>1365</v>
      </c>
      <c r="R21" s="93">
        <v>1246</v>
      </c>
      <c r="S21" s="93">
        <v>1352</v>
      </c>
      <c r="T21" s="91">
        <v>3.9623999999999997</v>
      </c>
      <c r="U21" s="88">
        <f t="shared" si="4"/>
        <v>0.9895666131621188</v>
      </c>
      <c r="V21" s="88">
        <f t="shared" si="5"/>
        <v>0.9904761904761905</v>
      </c>
    </row>
    <row r="22" spans="1:22" ht="12.75" customHeight="1">
      <c r="A22" s="21"/>
      <c r="B22" s="68"/>
      <c r="C22" s="68"/>
      <c r="D22" s="68"/>
      <c r="E22" s="68"/>
      <c r="F22" s="68"/>
      <c r="G22" s="85">
        <v>4.1148</v>
      </c>
      <c r="H22" s="86">
        <f t="shared" si="2"/>
        <v>0.9883624272651704</v>
      </c>
      <c r="I22" s="88">
        <f t="shared" si="3"/>
        <v>0.9886449659348978</v>
      </c>
      <c r="J22" s="80">
        <v>1189</v>
      </c>
      <c r="K22" s="80">
        <v>1266</v>
      </c>
      <c r="L22" s="80">
        <v>1321</v>
      </c>
      <c r="M22" s="84">
        <v>1203</v>
      </c>
      <c r="N22" s="84">
        <v>1306</v>
      </c>
      <c r="O22" s="80">
        <v>1379</v>
      </c>
      <c r="P22" s="80">
        <v>1409</v>
      </c>
      <c r="Q22" s="80">
        <v>1532</v>
      </c>
      <c r="R22" s="84">
        <v>1339</v>
      </c>
      <c r="S22" s="84">
        <v>1453</v>
      </c>
      <c r="T22" s="85">
        <v>4.1148</v>
      </c>
      <c r="U22" s="88">
        <f t="shared" si="4"/>
        <v>1.0298730395817774</v>
      </c>
      <c r="V22" s="88">
        <f t="shared" si="5"/>
        <v>0.9484334203655352</v>
      </c>
    </row>
    <row r="23" spans="1:22" ht="12.75" customHeight="1">
      <c r="A23" s="21"/>
      <c r="B23" s="68"/>
      <c r="C23" s="68"/>
      <c r="G23" s="85">
        <v>4.2672</v>
      </c>
      <c r="H23" s="86">
        <f>J23/M23</f>
        <v>0.9884974838245866</v>
      </c>
      <c r="I23" s="88">
        <f>N23/L23</f>
        <v>0.9888670595939751</v>
      </c>
      <c r="J23" s="80">
        <v>1375</v>
      </c>
      <c r="K23" s="80">
        <v>1464</v>
      </c>
      <c r="L23" s="80">
        <v>1527</v>
      </c>
      <c r="M23" s="84">
        <v>1391</v>
      </c>
      <c r="N23" s="84">
        <v>1510</v>
      </c>
      <c r="O23" s="80">
        <v>1595</v>
      </c>
      <c r="P23" s="80">
        <v>1699</v>
      </c>
      <c r="Q23" s="80">
        <v>1771</v>
      </c>
      <c r="R23" s="84">
        <v>1615</v>
      </c>
      <c r="S23" s="84">
        <v>1752</v>
      </c>
      <c r="T23" s="85">
        <v>4.2672</v>
      </c>
      <c r="U23" s="88">
        <f t="shared" si="4"/>
        <v>0.9876160990712074</v>
      </c>
      <c r="V23" s="88">
        <f t="shared" si="5"/>
        <v>0.9892715979672502</v>
      </c>
    </row>
    <row r="24" spans="1:22" ht="12.75" customHeight="1">
      <c r="A24" s="21"/>
      <c r="B24" s="68"/>
      <c r="C24" s="68"/>
      <c r="G24" s="91">
        <v>4.4196</v>
      </c>
      <c r="H24" s="92">
        <f>J24/M24</f>
        <v>0.9887342611000662</v>
      </c>
      <c r="I24" s="95">
        <f>N24/L24</f>
        <v>0.9891304347826086</v>
      </c>
      <c r="J24" s="81">
        <v>1492</v>
      </c>
      <c r="K24" s="81">
        <v>1588</v>
      </c>
      <c r="L24" s="81">
        <v>1656</v>
      </c>
      <c r="M24" s="93">
        <v>1509</v>
      </c>
      <c r="N24" s="93">
        <v>1638</v>
      </c>
      <c r="O24" s="81">
        <v>1730</v>
      </c>
      <c r="P24" s="81">
        <v>1842</v>
      </c>
      <c r="Q24" s="81">
        <v>1921</v>
      </c>
      <c r="R24" s="93">
        <v>1751</v>
      </c>
      <c r="S24" s="93">
        <v>1900</v>
      </c>
      <c r="T24" s="91">
        <v>4.4196</v>
      </c>
      <c r="U24" s="88">
        <f t="shared" si="4"/>
        <v>0.9880068532267275</v>
      </c>
      <c r="V24" s="88">
        <f t="shared" si="5"/>
        <v>0.9890681936491411</v>
      </c>
    </row>
    <row r="25" spans="1:22" ht="12.75" customHeight="1">
      <c r="A25" s="21"/>
      <c r="B25" s="68"/>
      <c r="C25" s="68"/>
      <c r="G25" s="85">
        <v>4.572</v>
      </c>
      <c r="H25" s="86">
        <f>J25/M25</f>
        <v>0.9884192240880139</v>
      </c>
      <c r="I25" s="88">
        <f>N25/L25</f>
        <v>0.9899630216587427</v>
      </c>
      <c r="J25" s="80">
        <v>1707</v>
      </c>
      <c r="K25" s="80">
        <v>1817</v>
      </c>
      <c r="L25" s="80">
        <v>1893</v>
      </c>
      <c r="M25" s="84">
        <v>1727</v>
      </c>
      <c r="N25" s="84">
        <v>1874</v>
      </c>
      <c r="O25" s="80">
        <v>1980</v>
      </c>
      <c r="P25" s="80">
        <v>2107</v>
      </c>
      <c r="Q25" s="80">
        <v>2196</v>
      </c>
      <c r="R25" s="84">
        <v>2002</v>
      </c>
      <c r="S25" s="84">
        <v>2173</v>
      </c>
      <c r="T25" s="85">
        <v>4.572</v>
      </c>
      <c r="U25" s="88">
        <f t="shared" si="4"/>
        <v>0.989010989010989</v>
      </c>
      <c r="V25" s="88">
        <f t="shared" si="5"/>
        <v>0.9895264116575592</v>
      </c>
    </row>
    <row r="26" spans="1:22" ht="12.75" customHeight="1">
      <c r="A26" s="21"/>
      <c r="B26" s="68"/>
      <c r="C26" s="68"/>
      <c r="G26" s="85">
        <v>4.7244</v>
      </c>
      <c r="H26" s="86">
        <f>J26/M26</f>
        <v>0.9887036040882194</v>
      </c>
      <c r="I26" s="88">
        <f>N26/L26</f>
        <v>0.9901816396661758</v>
      </c>
      <c r="J26" s="80">
        <v>1838</v>
      </c>
      <c r="K26" s="80">
        <v>1956</v>
      </c>
      <c r="L26" s="80">
        <v>2037</v>
      </c>
      <c r="M26" s="84">
        <v>1859</v>
      </c>
      <c r="N26" s="84">
        <v>2017</v>
      </c>
      <c r="O26" s="80">
        <v>2132</v>
      </c>
      <c r="P26" s="80">
        <v>2234</v>
      </c>
      <c r="Q26" s="80">
        <v>2363</v>
      </c>
      <c r="R26" s="84">
        <v>2123</v>
      </c>
      <c r="S26" s="84">
        <v>2304</v>
      </c>
      <c r="T26" s="85">
        <v>4.7244</v>
      </c>
      <c r="U26" s="88">
        <f t="shared" si="4"/>
        <v>1.0042392840320302</v>
      </c>
      <c r="V26" s="88">
        <f t="shared" si="5"/>
        <v>0.9750317393144308</v>
      </c>
    </row>
    <row r="27" spans="1:22" ht="12.75" customHeight="1">
      <c r="A27" s="21"/>
      <c r="B27" s="68"/>
      <c r="C27" s="68"/>
      <c r="G27" s="85">
        <v>4.876799999999999</v>
      </c>
      <c r="H27" s="86">
        <f>J27/M27</f>
        <v>0.9890840056953014</v>
      </c>
      <c r="I27" s="86">
        <f>N27/L27</f>
        <v>0.9904720658293633</v>
      </c>
      <c r="J27" s="80">
        <v>2084</v>
      </c>
      <c r="K27" s="80">
        <v>2217</v>
      </c>
      <c r="L27" s="80">
        <v>2309</v>
      </c>
      <c r="M27" s="84">
        <v>2107</v>
      </c>
      <c r="N27" s="84">
        <v>2287</v>
      </c>
      <c r="O27" s="80">
        <v>2417</v>
      </c>
      <c r="P27" s="80">
        <v>2521</v>
      </c>
      <c r="Q27" s="80">
        <v>2678</v>
      </c>
      <c r="R27" s="84">
        <v>2396</v>
      </c>
      <c r="S27" s="84">
        <v>2600</v>
      </c>
      <c r="T27" s="85">
        <v>4.876799999999999</v>
      </c>
      <c r="U27" s="88">
        <f t="shared" si="4"/>
        <v>1.0087646076794659</v>
      </c>
      <c r="V27" s="88">
        <f t="shared" si="5"/>
        <v>0.970873786407767</v>
      </c>
    </row>
    <row r="28" spans="1:22" ht="12.75" customHeight="1">
      <c r="A28" s="21"/>
      <c r="B28" s="68"/>
      <c r="C28" s="68"/>
      <c r="D28" s="68"/>
      <c r="E28" s="68"/>
      <c r="F28" s="68"/>
      <c r="G28" s="85">
        <v>5.0291999999999994</v>
      </c>
      <c r="H28" s="86">
        <f aca="true" t="shared" si="6" ref="H28:H39">J28/M28</f>
        <v>0.9897868561278863</v>
      </c>
      <c r="I28" s="86">
        <f aca="true" t="shared" si="7" ref="I28:I39">N28/L28</f>
        <v>0.9902755267423015</v>
      </c>
      <c r="J28" s="80">
        <v>2229</v>
      </c>
      <c r="K28" s="80">
        <v>2370</v>
      </c>
      <c r="L28" s="80">
        <v>2468</v>
      </c>
      <c r="M28" s="84">
        <v>2252</v>
      </c>
      <c r="N28" s="84">
        <v>2444</v>
      </c>
      <c r="O28" s="80">
        <v>2585</v>
      </c>
      <c r="P28" s="80">
        <v>2750</v>
      </c>
      <c r="Q28" s="80">
        <v>2803</v>
      </c>
      <c r="R28" s="84">
        <v>2613</v>
      </c>
      <c r="S28" s="84">
        <v>2836</v>
      </c>
      <c r="T28" s="85">
        <v>5.0291999999999994</v>
      </c>
      <c r="U28" s="88">
        <f t="shared" si="4"/>
        <v>0.9892843474933027</v>
      </c>
      <c r="V28" s="88">
        <f t="shared" si="5"/>
        <v>1.0117731002497323</v>
      </c>
    </row>
    <row r="29" spans="1:22" ht="12.75" customHeight="1">
      <c r="A29" s="21"/>
      <c r="B29" s="68"/>
      <c r="C29" s="68"/>
      <c r="D29" s="68"/>
      <c r="E29" s="68"/>
      <c r="F29" s="68"/>
      <c r="G29" s="85">
        <v>5.1815999999999995</v>
      </c>
      <c r="H29" s="86">
        <f t="shared" si="6"/>
        <v>0.9878188047202132</v>
      </c>
      <c r="I29" s="86">
        <f t="shared" si="7"/>
        <v>0.9889004509191814</v>
      </c>
      <c r="J29" s="80">
        <v>2595</v>
      </c>
      <c r="K29" s="80">
        <v>2764</v>
      </c>
      <c r="L29" s="80">
        <v>2883</v>
      </c>
      <c r="M29" s="84">
        <v>2627</v>
      </c>
      <c r="N29" s="84">
        <v>2851</v>
      </c>
      <c r="O29" s="80">
        <v>3010</v>
      </c>
      <c r="P29" s="80">
        <v>3206</v>
      </c>
      <c r="Q29" s="80">
        <v>3344</v>
      </c>
      <c r="R29" s="84">
        <v>3047</v>
      </c>
      <c r="S29" s="84">
        <v>3307</v>
      </c>
      <c r="T29" s="85">
        <v>5.1815999999999995</v>
      </c>
      <c r="U29" s="88">
        <f t="shared" si="4"/>
        <v>0.9878569084345258</v>
      </c>
      <c r="V29" s="88">
        <f t="shared" si="5"/>
        <v>0.9889354066985646</v>
      </c>
    </row>
    <row r="30" spans="1:22" ht="12.75" customHeight="1">
      <c r="A30" s="21"/>
      <c r="B30" s="68"/>
      <c r="C30" s="68"/>
      <c r="D30" s="68"/>
      <c r="E30" s="68"/>
      <c r="F30" s="68"/>
      <c r="G30" s="91">
        <v>5.334</v>
      </c>
      <c r="H30" s="92">
        <f>J30/M30</f>
        <v>0.9877873563218391</v>
      </c>
      <c r="I30" s="92">
        <f>N30/L30</f>
        <v>0.9895185063871602</v>
      </c>
      <c r="J30" s="81">
        <v>2750</v>
      </c>
      <c r="K30" s="81">
        <v>2929</v>
      </c>
      <c r="L30" s="81">
        <v>3053</v>
      </c>
      <c r="M30" s="93">
        <v>2784</v>
      </c>
      <c r="N30" s="93">
        <v>3021</v>
      </c>
      <c r="O30" s="81">
        <v>3190</v>
      </c>
      <c r="P30" s="81">
        <v>3397</v>
      </c>
      <c r="Q30" s="81">
        <v>3542</v>
      </c>
      <c r="R30" s="93">
        <v>3228</v>
      </c>
      <c r="S30" s="93">
        <v>3504</v>
      </c>
      <c r="T30" s="91">
        <v>5.334</v>
      </c>
      <c r="U30" s="95">
        <f>O30/R30</f>
        <v>0.9882280049566295</v>
      </c>
      <c r="V30" s="95">
        <f>S30/Q30</f>
        <v>0.9892715979672502</v>
      </c>
    </row>
    <row r="31" spans="1:22" ht="12.75" customHeight="1">
      <c r="A31" s="21"/>
      <c r="B31" s="68"/>
      <c r="C31" s="68"/>
      <c r="D31" s="68"/>
      <c r="E31" s="68"/>
      <c r="F31" s="68"/>
      <c r="G31" s="91">
        <v>5.4864</v>
      </c>
      <c r="H31" s="92">
        <f t="shared" si="6"/>
        <v>0.9884355926758753</v>
      </c>
      <c r="I31" s="92">
        <f t="shared" si="7"/>
        <v>0.9897480960749854</v>
      </c>
      <c r="J31" s="81">
        <v>3077</v>
      </c>
      <c r="K31" s="81">
        <v>3276</v>
      </c>
      <c r="L31" s="81">
        <v>3414</v>
      </c>
      <c r="M31" s="93">
        <v>3113</v>
      </c>
      <c r="N31" s="93">
        <v>3379</v>
      </c>
      <c r="O31" s="81">
        <v>3560</v>
      </c>
      <c r="P31" s="81">
        <v>3800</v>
      </c>
      <c r="Q31" s="81">
        <v>3961</v>
      </c>
      <c r="R31" s="93">
        <v>3611</v>
      </c>
      <c r="S31" s="93">
        <v>3919</v>
      </c>
      <c r="T31" s="91">
        <v>5.4864</v>
      </c>
      <c r="U31" s="88">
        <f t="shared" si="4"/>
        <v>0.9858764885073387</v>
      </c>
      <c r="V31" s="88">
        <f t="shared" si="5"/>
        <v>0.9893966170159051</v>
      </c>
    </row>
    <row r="32" spans="1:22" ht="12.75" customHeight="1">
      <c r="A32" s="21"/>
      <c r="B32" s="68"/>
      <c r="C32" s="68"/>
      <c r="D32" s="68"/>
      <c r="E32" s="68"/>
      <c r="F32" s="68"/>
      <c r="G32" s="85">
        <v>5.7912</v>
      </c>
      <c r="H32" s="86">
        <f t="shared" si="6"/>
        <v>0.9822139045592111</v>
      </c>
      <c r="I32" s="86">
        <f t="shared" si="7"/>
        <v>0.9869334939189733</v>
      </c>
      <c r="J32" s="80">
        <v>3766.7903239845746</v>
      </c>
      <c r="K32" s="80">
        <v>4035.7839720453753</v>
      </c>
      <c r="L32" s="80">
        <v>4217.102799372313</v>
      </c>
      <c r="M32" s="84">
        <v>3835</v>
      </c>
      <c r="N32" s="84">
        <v>4162</v>
      </c>
      <c r="O32" s="80">
        <v>4372.285736236187</v>
      </c>
      <c r="P32" s="80">
        <v>4650.509785295306</v>
      </c>
      <c r="Q32" s="80">
        <v>4829.797429519391</v>
      </c>
      <c r="R32" s="84">
        <v>4420</v>
      </c>
      <c r="S32" s="84">
        <v>4796</v>
      </c>
      <c r="T32" s="85">
        <v>5.7912</v>
      </c>
      <c r="U32" s="88">
        <f t="shared" si="4"/>
        <v>0.9892049177004949</v>
      </c>
      <c r="V32" s="88">
        <f t="shared" si="5"/>
        <v>0.9930023091004142</v>
      </c>
    </row>
    <row r="33" spans="1:22" ht="12.75" customHeight="1">
      <c r="A33" s="21"/>
      <c r="B33" s="68"/>
      <c r="C33" s="68"/>
      <c r="D33" s="68"/>
      <c r="E33" s="68"/>
      <c r="F33" s="68"/>
      <c r="G33" s="85">
        <v>6.096</v>
      </c>
      <c r="H33" s="86">
        <f t="shared" si="6"/>
        <v>0.9813781394219031</v>
      </c>
      <c r="I33" s="86">
        <f t="shared" si="7"/>
        <v>0.9865760615640045</v>
      </c>
      <c r="J33" s="80">
        <v>4477.047072042722</v>
      </c>
      <c r="K33" s="80">
        <v>4800.749034893211</v>
      </c>
      <c r="L33" s="80">
        <v>5018.366239447623</v>
      </c>
      <c r="M33" s="84">
        <v>4562</v>
      </c>
      <c r="N33" s="84">
        <v>4951</v>
      </c>
      <c r="O33" s="80">
        <v>5197.512945824291</v>
      </c>
      <c r="P33" s="80">
        <v>5530.00749381634</v>
      </c>
      <c r="Q33" s="80">
        <v>5739.196762774403</v>
      </c>
      <c r="R33" s="84">
        <v>5255</v>
      </c>
      <c r="S33" s="84">
        <v>5703</v>
      </c>
      <c r="T33" s="85">
        <v>6.096</v>
      </c>
      <c r="U33" s="88">
        <f t="shared" si="4"/>
        <v>0.9890605034870201</v>
      </c>
      <c r="V33" s="88">
        <f t="shared" si="5"/>
        <v>0.9936930611946984</v>
      </c>
    </row>
    <row r="34" spans="1:22" ht="12.75" customHeight="1">
      <c r="A34" s="21"/>
      <c r="B34" s="68"/>
      <c r="C34" s="68"/>
      <c r="D34" s="68"/>
      <c r="E34" s="68"/>
      <c r="F34" s="68"/>
      <c r="G34" s="85">
        <v>6.400799999999999</v>
      </c>
      <c r="H34" s="86">
        <f t="shared" si="6"/>
        <v>0.9805909280483459</v>
      </c>
      <c r="I34" s="86">
        <f t="shared" si="7"/>
        <v>0.9862547443414142</v>
      </c>
      <c r="J34" s="80">
        <v>5276.559783828149</v>
      </c>
      <c r="K34" s="80">
        <v>5662.542471170604</v>
      </c>
      <c r="L34" s="80">
        <v>5921.391033611447</v>
      </c>
      <c r="M34" s="84">
        <v>5381</v>
      </c>
      <c r="N34" s="84">
        <v>5840</v>
      </c>
      <c r="O34" s="80">
        <v>6126.58340358083</v>
      </c>
      <c r="P34" s="80">
        <v>6520.484454642871</v>
      </c>
      <c r="Q34" s="80">
        <v>6762.652690310837</v>
      </c>
      <c r="R34" s="84">
        <v>6197</v>
      </c>
      <c r="S34" s="84">
        <v>6725</v>
      </c>
      <c r="T34" s="85">
        <v>6.400799999999999</v>
      </c>
      <c r="U34" s="88">
        <f t="shared" si="4"/>
        <v>0.9886369862160449</v>
      </c>
      <c r="V34" s="88">
        <f t="shared" si="5"/>
        <v>0.9944322602335052</v>
      </c>
    </row>
    <row r="35" spans="1:22" ht="12.75" customHeight="1">
      <c r="A35" s="21"/>
      <c r="B35" s="68"/>
      <c r="C35" s="68"/>
      <c r="D35" s="68"/>
      <c r="E35" s="68"/>
      <c r="F35" s="68"/>
      <c r="G35" s="85">
        <v>6.7056</v>
      </c>
      <c r="H35" s="86">
        <f t="shared" si="6"/>
        <v>0.9797566007805448</v>
      </c>
      <c r="I35" s="86">
        <f t="shared" si="7"/>
        <v>0.9859628437047296</v>
      </c>
      <c r="J35" s="80">
        <v>6171.486828316652</v>
      </c>
      <c r="K35" s="80">
        <v>6627.926910471698</v>
      </c>
      <c r="L35" s="80">
        <v>6933.324154806796</v>
      </c>
      <c r="M35" s="84">
        <v>6299</v>
      </c>
      <c r="N35" s="84">
        <v>6836</v>
      </c>
      <c r="O35" s="80">
        <v>7166.678191585715</v>
      </c>
      <c r="P35" s="80">
        <v>7629.651099817529</v>
      </c>
      <c r="Q35" s="80">
        <v>7908.008589421526</v>
      </c>
      <c r="R35" s="84">
        <v>7251</v>
      </c>
      <c r="S35" s="84">
        <v>7869</v>
      </c>
      <c r="T35" s="85">
        <v>6.7056</v>
      </c>
      <c r="U35" s="88">
        <f t="shared" si="4"/>
        <v>0.9883710097346179</v>
      </c>
      <c r="V35" s="88">
        <f t="shared" si="5"/>
        <v>0.9950672044699461</v>
      </c>
    </row>
    <row r="36" spans="1:22" ht="12.75" customHeight="1">
      <c r="A36" s="21"/>
      <c r="B36" s="68"/>
      <c r="C36" s="68"/>
      <c r="D36" s="68"/>
      <c r="E36" s="68"/>
      <c r="F36" s="68"/>
      <c r="G36" s="85">
        <v>7.0104</v>
      </c>
      <c r="H36" s="86">
        <f t="shared" si="6"/>
        <v>0.9791142486435639</v>
      </c>
      <c r="I36" s="86">
        <f t="shared" si="7"/>
        <v>0.9855550619976788</v>
      </c>
      <c r="J36" s="80">
        <v>7168.095414319531</v>
      </c>
      <c r="K36" s="80">
        <v>7703.7898145045865</v>
      </c>
      <c r="L36" s="80">
        <v>8061.447103620794</v>
      </c>
      <c r="M36" s="84">
        <v>7321</v>
      </c>
      <c r="N36" s="84">
        <v>7945</v>
      </c>
      <c r="O36" s="80">
        <v>8325.106351084565</v>
      </c>
      <c r="P36" s="80">
        <v>8865.357571084933</v>
      </c>
      <c r="Q36" s="80">
        <v>9183.24478438767</v>
      </c>
      <c r="R36" s="84">
        <v>8425</v>
      </c>
      <c r="S36" s="84">
        <v>9143</v>
      </c>
      <c r="T36" s="85">
        <v>7.0104</v>
      </c>
      <c r="U36" s="88">
        <f t="shared" si="4"/>
        <v>0.9881431870723519</v>
      </c>
      <c r="V36" s="88">
        <f t="shared" si="5"/>
        <v>0.9956175855775847</v>
      </c>
    </row>
    <row r="37" spans="1:22" ht="12.75" customHeight="1">
      <c r="A37" s="21"/>
      <c r="B37" s="68"/>
      <c r="C37" s="68"/>
      <c r="D37" s="68"/>
      <c r="E37" s="68"/>
      <c r="F37" s="68"/>
      <c r="G37" s="85">
        <v>7.3152</v>
      </c>
      <c r="H37" s="86">
        <f t="shared" si="6"/>
        <v>0.9784457045484535</v>
      </c>
      <c r="I37" s="86">
        <f t="shared" si="7"/>
        <v>0.9852711679286739</v>
      </c>
      <c r="J37" s="80">
        <v>8272.758431957174</v>
      </c>
      <c r="K37" s="80">
        <v>8897.139945999452</v>
      </c>
      <c r="L37" s="80">
        <v>9313.1721486285</v>
      </c>
      <c r="M37" s="84">
        <v>8455</v>
      </c>
      <c r="N37" s="84">
        <v>9176</v>
      </c>
      <c r="O37" s="80">
        <v>9609.301186489733</v>
      </c>
      <c r="P37" s="80">
        <v>10235.589723688887</v>
      </c>
      <c r="Q37" s="80">
        <v>10596.47454502439</v>
      </c>
      <c r="R37" s="84">
        <v>9727</v>
      </c>
      <c r="S37" s="84">
        <v>10557</v>
      </c>
      <c r="T37" s="85">
        <v>7.3152</v>
      </c>
      <c r="U37" s="88">
        <f t="shared" si="4"/>
        <v>0.9878997827171515</v>
      </c>
      <c r="V37" s="88">
        <f t="shared" si="5"/>
        <v>0.9962747473363275</v>
      </c>
    </row>
    <row r="38" spans="1:22" ht="12.75" customHeight="1">
      <c r="A38" s="21"/>
      <c r="B38" s="68"/>
      <c r="C38" s="68"/>
      <c r="D38" s="68"/>
      <c r="E38" s="68"/>
      <c r="F38" s="68"/>
      <c r="G38" s="85">
        <v>7.62</v>
      </c>
      <c r="H38" s="86">
        <f t="shared" si="6"/>
        <v>0.9777453152587144</v>
      </c>
      <c r="I38" s="86">
        <f t="shared" si="7"/>
        <v>0.9849440680825762</v>
      </c>
      <c r="J38" s="80">
        <v>9491.9515205316</v>
      </c>
      <c r="K38" s="80">
        <v>10215.104088296715</v>
      </c>
      <c r="L38" s="80">
        <v>10696.03883244745</v>
      </c>
      <c r="M38" s="84">
        <v>9708</v>
      </c>
      <c r="N38" s="84">
        <v>10535</v>
      </c>
      <c r="O38" s="80">
        <v>11026.816833835781</v>
      </c>
      <c r="P38" s="80">
        <v>11748.465415054543</v>
      </c>
      <c r="Q38" s="80">
        <v>12155.940372791021</v>
      </c>
      <c r="R38" s="84">
        <v>11165</v>
      </c>
      <c r="S38" s="84">
        <v>12117</v>
      </c>
      <c r="T38" s="85">
        <v>7.62</v>
      </c>
      <c r="U38" s="88">
        <f t="shared" si="4"/>
        <v>0.9876235408719911</v>
      </c>
      <c r="V38" s="88">
        <f t="shared" si="5"/>
        <v>0.9967965972523045</v>
      </c>
    </row>
    <row r="39" spans="1:22" ht="12.75" customHeight="1">
      <c r="A39" s="21"/>
      <c r="B39" s="68"/>
      <c r="C39" s="68"/>
      <c r="D39" s="68"/>
      <c r="E39" s="68"/>
      <c r="F39" s="68"/>
      <c r="G39" s="85">
        <v>7.924799999999999</v>
      </c>
      <c r="H39" s="86">
        <f t="shared" si="6"/>
        <v>0.9771108008039872</v>
      </c>
      <c r="I39" s="86">
        <f t="shared" si="7"/>
        <v>0.9847180278958245</v>
      </c>
      <c r="J39" s="80">
        <v>10832.250337713001</v>
      </c>
      <c r="K39" s="80">
        <v>11664.923988001414</v>
      </c>
      <c r="L39" s="80">
        <v>12217.710714313018</v>
      </c>
      <c r="M39" s="84">
        <v>11086</v>
      </c>
      <c r="N39" s="84">
        <v>12031</v>
      </c>
      <c r="O39" s="80">
        <v>12585.325064419641</v>
      </c>
      <c r="P39" s="80">
        <v>13412.231046894338</v>
      </c>
      <c r="Q39" s="80">
        <v>13870.010542553524</v>
      </c>
      <c r="R39" s="84">
        <v>12746</v>
      </c>
      <c r="S39" s="84">
        <v>13833</v>
      </c>
      <c r="T39" s="85">
        <v>7.924799999999999</v>
      </c>
      <c r="U39" s="88">
        <f t="shared" si="4"/>
        <v>0.9873940894727476</v>
      </c>
      <c r="V39" s="88">
        <f t="shared" si="5"/>
        <v>0.9973316139566026</v>
      </c>
    </row>
    <row r="40" spans="1:22" ht="12.75" customHeight="1">
      <c r="A40" s="21"/>
      <c r="B40" s="68"/>
      <c r="C40" s="68"/>
      <c r="D40" s="68"/>
      <c r="E40" s="68"/>
      <c r="F40" s="68" t="s">
        <v>165</v>
      </c>
      <c r="G40" s="68"/>
      <c r="H40" s="86">
        <f>AVERAGE(H6:H39)</f>
        <v>0.9885695248337162</v>
      </c>
      <c r="I40" s="86">
        <f>AVERAGE(I6:I39)</f>
        <v>0.9901998616837219</v>
      </c>
      <c r="U40" s="86">
        <f>AVERAGE(U6:U39)</f>
        <v>0.9904124227516362</v>
      </c>
      <c r="V40" s="86">
        <f>AVERAGE(V6:V39)</f>
        <v>0.98734899689792</v>
      </c>
    </row>
    <row r="41" spans="1:9" ht="12.75" customHeight="1">
      <c r="A41" s="21"/>
      <c r="B41" s="68"/>
      <c r="C41" s="68"/>
      <c r="D41" s="68"/>
      <c r="E41" s="68"/>
      <c r="F41" s="68"/>
      <c r="G41" s="68"/>
      <c r="H41" s="68"/>
      <c r="I41" s="68"/>
    </row>
    <row r="42" spans="1:11" ht="12.75" customHeight="1">
      <c r="A42" s="21"/>
      <c r="B42" s="68"/>
      <c r="C42" s="68"/>
      <c r="D42" s="68"/>
      <c r="E42" s="68"/>
      <c r="F42" s="68"/>
      <c r="G42" s="68"/>
      <c r="H42" s="68"/>
      <c r="I42" s="68"/>
      <c r="J42" s="61"/>
      <c r="K42" s="61"/>
    </row>
    <row r="43" spans="1:11" ht="12.75" customHeight="1">
      <c r="A43" s="21"/>
      <c r="B43" s="68"/>
      <c r="C43" s="68"/>
      <c r="D43" s="68"/>
      <c r="E43" s="68"/>
      <c r="F43" s="68"/>
      <c r="G43" s="68"/>
      <c r="H43" s="68"/>
      <c r="I43" s="68"/>
      <c r="J43" s="61"/>
      <c r="K43" s="61"/>
    </row>
    <row r="44" spans="1:11" ht="12.75" customHeight="1">
      <c r="A44" s="21"/>
      <c r="B44" s="78"/>
      <c r="C44" s="78"/>
      <c r="D44" s="78"/>
      <c r="E44" s="78"/>
      <c r="F44" s="78"/>
      <c r="G44" s="78"/>
      <c r="H44" s="78"/>
      <c r="I44" s="78"/>
      <c r="J44" s="61"/>
      <c r="K44" s="61"/>
    </row>
    <row r="45" spans="1:11" ht="12.75" customHeight="1">
      <c r="A45" s="21"/>
      <c r="B45" s="78"/>
      <c r="C45" s="78"/>
      <c r="D45" s="78"/>
      <c r="E45" s="78"/>
      <c r="F45" s="78"/>
      <c r="G45" s="78"/>
      <c r="H45" s="78"/>
      <c r="I45" s="78"/>
      <c r="J45" s="61"/>
      <c r="K45" s="61"/>
    </row>
    <row r="46" spans="1:11" ht="12.75" customHeight="1">
      <c r="A46" s="21"/>
      <c r="B46" s="78"/>
      <c r="C46" s="78"/>
      <c r="D46" s="78"/>
      <c r="E46" s="78"/>
      <c r="F46" s="78"/>
      <c r="G46" s="78"/>
      <c r="H46" s="78"/>
      <c r="I46" s="78"/>
      <c r="J46" s="61"/>
      <c r="K46" s="61"/>
    </row>
    <row r="47" spans="1:11" ht="12.75" customHeight="1">
      <c r="A47" s="21"/>
      <c r="B47" s="78"/>
      <c r="C47" s="78"/>
      <c r="D47" s="78"/>
      <c r="E47" s="78"/>
      <c r="F47" s="78"/>
      <c r="G47" s="78"/>
      <c r="H47" s="78"/>
      <c r="I47" s="78"/>
      <c r="J47" s="61"/>
      <c r="K47" s="61"/>
    </row>
    <row r="48" spans="1:11" ht="12.75" customHeight="1">
      <c r="A48" s="21"/>
      <c r="B48" s="78"/>
      <c r="C48" s="78"/>
      <c r="D48" s="78"/>
      <c r="E48" s="78"/>
      <c r="F48" s="78"/>
      <c r="G48" s="78"/>
      <c r="H48" s="78"/>
      <c r="I48" s="78"/>
      <c r="J48" s="61"/>
      <c r="K48" s="61"/>
    </row>
    <row r="49" spans="1:11" ht="12.75" customHeight="1">
      <c r="A49" s="21"/>
      <c r="B49" s="78"/>
      <c r="C49" s="78"/>
      <c r="D49" s="78"/>
      <c r="E49" s="78"/>
      <c r="F49" s="78"/>
      <c r="G49" s="78"/>
      <c r="H49" s="78"/>
      <c r="I49" s="78"/>
      <c r="J49" s="61"/>
      <c r="K49" s="61"/>
    </row>
    <row r="50" spans="1:11" ht="12.75" customHeight="1">
      <c r="A50" s="21"/>
      <c r="B50" s="78"/>
      <c r="C50" s="78"/>
      <c r="D50" s="78"/>
      <c r="E50" s="78"/>
      <c r="F50" s="78"/>
      <c r="G50" s="78"/>
      <c r="H50" s="78"/>
      <c r="I50" s="78"/>
      <c r="J50" s="61"/>
      <c r="K50" s="61"/>
    </row>
    <row r="51" spans="1:11" ht="12.75" customHeight="1">
      <c r="A51" s="21"/>
      <c r="B51" s="78"/>
      <c r="C51" s="78"/>
      <c r="D51" s="78"/>
      <c r="E51" s="78"/>
      <c r="F51" s="78"/>
      <c r="G51" s="78"/>
      <c r="H51" s="78"/>
      <c r="I51" s="78"/>
      <c r="J51" s="61"/>
      <c r="K51" s="61"/>
    </row>
    <row r="52" spans="1:11" ht="12.75" customHeight="1">
      <c r="A52" s="21"/>
      <c r="B52" s="21"/>
      <c r="C52" s="53"/>
      <c r="D52" s="61"/>
      <c r="E52" s="61"/>
      <c r="F52" s="61"/>
      <c r="G52" s="61"/>
      <c r="H52" s="61"/>
      <c r="I52" s="61"/>
      <c r="J52" s="61"/>
      <c r="K52" s="61"/>
    </row>
    <row r="53" spans="1:11" ht="12.75" customHeight="1">
      <c r="A53" s="21"/>
      <c r="B53" s="21"/>
      <c r="C53" s="53"/>
      <c r="D53" s="61"/>
      <c r="E53" s="61"/>
      <c r="F53" s="61"/>
      <c r="G53" s="61"/>
      <c r="H53" s="61"/>
      <c r="I53" s="61"/>
      <c r="J53" s="61"/>
      <c r="K53" s="61"/>
    </row>
    <row r="54" spans="1:11" ht="12.75" customHeight="1">
      <c r="A54" s="21"/>
      <c r="B54" s="21"/>
      <c r="C54" s="53"/>
      <c r="D54" s="61"/>
      <c r="E54" s="61"/>
      <c r="F54" s="61"/>
      <c r="G54" s="61"/>
      <c r="H54" s="61"/>
      <c r="I54" s="61"/>
      <c r="J54" s="61"/>
      <c r="K54" s="61"/>
    </row>
    <row r="55" spans="1:11" ht="12.75" customHeight="1">
      <c r="A55" s="21"/>
      <c r="B55" s="21"/>
      <c r="C55" s="53"/>
      <c r="D55" s="61"/>
      <c r="E55" s="61"/>
      <c r="F55" s="61"/>
      <c r="G55" s="61"/>
      <c r="H55" s="61"/>
      <c r="I55" s="61"/>
      <c r="J55" s="61"/>
      <c r="K55" s="61"/>
    </row>
    <row r="56" spans="1:11" ht="12.75" customHeight="1">
      <c r="A56" s="21"/>
      <c r="B56" s="21"/>
      <c r="C56" s="53"/>
      <c r="D56" s="61"/>
      <c r="E56" s="61"/>
      <c r="F56" s="61"/>
      <c r="G56" s="61"/>
      <c r="H56" s="61"/>
      <c r="I56" s="61"/>
      <c r="J56" s="61"/>
      <c r="K56" s="61"/>
    </row>
    <row r="57" spans="1:11" ht="12.75" customHeight="1">
      <c r="A57" s="21"/>
      <c r="B57" s="21"/>
      <c r="C57" s="53"/>
      <c r="D57" s="61"/>
      <c r="E57" s="61"/>
      <c r="F57" s="61"/>
      <c r="G57" s="61"/>
      <c r="H57" s="61"/>
      <c r="I57" s="61"/>
      <c r="J57" s="61"/>
      <c r="K57" s="61"/>
    </row>
    <row r="58" spans="1:11" ht="12.75" customHeight="1">
      <c r="A58" s="21"/>
      <c r="B58" s="21"/>
      <c r="C58" s="53"/>
      <c r="D58" s="61"/>
      <c r="E58" s="61"/>
      <c r="F58" s="61"/>
      <c r="G58" s="61"/>
      <c r="H58" s="61"/>
      <c r="I58" s="61"/>
      <c r="J58" s="61"/>
      <c r="K58" s="61"/>
    </row>
    <row r="59" spans="1:11" ht="12.75" customHeight="1">
      <c r="A59" s="21"/>
      <c r="B59" s="21"/>
      <c r="C59" s="53"/>
      <c r="D59" s="61"/>
      <c r="E59" s="61"/>
      <c r="F59" s="61"/>
      <c r="G59" s="61"/>
      <c r="H59" s="61"/>
      <c r="I59" s="61"/>
      <c r="J59" s="61"/>
      <c r="K59" s="61"/>
    </row>
    <row r="60" spans="1:11" ht="12.75" customHeight="1">
      <c r="A60" s="21"/>
      <c r="B60" s="21"/>
      <c r="C60" s="53"/>
      <c r="D60" s="61"/>
      <c r="E60" s="61"/>
      <c r="F60" s="61"/>
      <c r="G60" s="61"/>
      <c r="H60" s="61"/>
      <c r="I60" s="61"/>
      <c r="J60" s="61"/>
      <c r="K60" s="61"/>
    </row>
    <row r="61" spans="1:11" ht="12.75" customHeight="1">
      <c r="A61" s="21"/>
      <c r="B61" s="21"/>
      <c r="C61" s="53"/>
      <c r="D61" s="61"/>
      <c r="E61" s="61"/>
      <c r="F61" s="61"/>
      <c r="G61" s="61"/>
      <c r="H61" s="61"/>
      <c r="I61" s="61"/>
      <c r="J61" s="61"/>
      <c r="K61" s="61"/>
    </row>
    <row r="62" spans="1:11" ht="12.75" customHeight="1">
      <c r="A62" s="21"/>
      <c r="B62" s="21"/>
      <c r="C62" s="53"/>
      <c r="D62" s="61"/>
      <c r="E62" s="61"/>
      <c r="F62" s="61"/>
      <c r="G62" s="61"/>
      <c r="H62" s="61"/>
      <c r="I62" s="61"/>
      <c r="J62" s="61"/>
      <c r="K62" s="61"/>
    </row>
    <row r="63" spans="1:11" ht="12.75" customHeight="1">
      <c r="A63" s="21"/>
      <c r="B63" s="21"/>
      <c r="C63" s="53"/>
      <c r="D63" s="61"/>
      <c r="E63" s="61"/>
      <c r="F63" s="61"/>
      <c r="G63" s="61"/>
      <c r="H63" s="61"/>
      <c r="I63" s="61"/>
      <c r="J63" s="61"/>
      <c r="K63" s="61"/>
    </row>
    <row r="64" spans="1:11" ht="12.75" customHeight="1">
      <c r="A64" s="21"/>
      <c r="B64" s="21"/>
      <c r="C64" s="53"/>
      <c r="D64" s="61"/>
      <c r="E64" s="61"/>
      <c r="F64" s="61"/>
      <c r="G64" s="61"/>
      <c r="H64" s="61"/>
      <c r="I64" s="61"/>
      <c r="J64" s="61"/>
      <c r="K64" s="61"/>
    </row>
    <row r="65" spans="1:11" ht="12.75" customHeight="1">
      <c r="A65" s="21"/>
      <c r="B65" s="21"/>
      <c r="C65" s="53"/>
      <c r="D65" s="61"/>
      <c r="E65" s="61"/>
      <c r="F65" s="61"/>
      <c r="G65" s="61"/>
      <c r="H65" s="61"/>
      <c r="I65" s="61"/>
      <c r="J65" s="61"/>
      <c r="K65" s="61"/>
    </row>
    <row r="66" spans="1:11" ht="12.75" customHeight="1">
      <c r="A66" s="21"/>
      <c r="B66" s="21"/>
      <c r="C66" s="53"/>
      <c r="D66" s="61"/>
      <c r="E66" s="61"/>
      <c r="F66" s="61"/>
      <c r="G66" s="61"/>
      <c r="H66" s="61"/>
      <c r="I66" s="61"/>
      <c r="J66" s="61"/>
      <c r="K66" s="61"/>
    </row>
    <row r="67" spans="1:11" ht="12.75" customHeight="1">
      <c r="A67" s="21"/>
      <c r="B67" s="21"/>
      <c r="C67" s="53"/>
      <c r="D67" s="61"/>
      <c r="E67" s="61"/>
      <c r="F67" s="61"/>
      <c r="G67" s="61"/>
      <c r="H67" s="61"/>
      <c r="I67" s="61"/>
      <c r="J67" s="61"/>
      <c r="K67" s="61"/>
    </row>
    <row r="68" spans="1:11" ht="12.75" customHeight="1">
      <c r="A68" s="21"/>
      <c r="B68" s="21"/>
      <c r="C68" s="53"/>
      <c r="D68" s="61"/>
      <c r="E68" s="61"/>
      <c r="F68" s="61"/>
      <c r="G68" s="61"/>
      <c r="H68" s="61"/>
      <c r="I68" s="61"/>
      <c r="J68" s="61"/>
      <c r="K68" s="61"/>
    </row>
    <row r="69" spans="1:11" ht="12.75" customHeight="1">
      <c r="A69" s="21"/>
      <c r="B69" s="21"/>
      <c r="C69" s="53"/>
      <c r="D69" s="61"/>
      <c r="E69" s="61"/>
      <c r="F69" s="61"/>
      <c r="G69" s="61"/>
      <c r="H69" s="61"/>
      <c r="I69" s="61"/>
      <c r="J69" s="61"/>
      <c r="K69" s="61"/>
    </row>
    <row r="70" spans="1:11" ht="12.75" customHeight="1">
      <c r="A70" s="21"/>
      <c r="B70" s="21"/>
      <c r="C70" s="53"/>
      <c r="D70" s="61"/>
      <c r="E70" s="61"/>
      <c r="F70" s="61"/>
      <c r="G70" s="61"/>
      <c r="H70" s="61"/>
      <c r="I70" s="61"/>
      <c r="J70" s="61"/>
      <c r="K70" s="61"/>
    </row>
    <row r="71" spans="1:11" ht="12.75" customHeight="1">
      <c r="A71" s="21"/>
      <c r="B71" s="21"/>
      <c r="C71" s="53"/>
      <c r="D71" s="61"/>
      <c r="E71" s="61"/>
      <c r="F71" s="61"/>
      <c r="G71" s="61"/>
      <c r="H71" s="61"/>
      <c r="I71" s="61"/>
      <c r="J71" s="61"/>
      <c r="K71" s="61"/>
    </row>
    <row r="72" spans="1:10" ht="12.75" customHeight="1">
      <c r="A72" s="21"/>
      <c r="B72" s="21"/>
      <c r="C72" s="53"/>
      <c r="D72" s="61"/>
      <c r="E72" s="61"/>
      <c r="F72" s="61"/>
      <c r="G72" s="61"/>
      <c r="H72" s="61"/>
      <c r="I72" s="61"/>
      <c r="J72" s="30"/>
    </row>
    <row r="73" spans="3:14" ht="12.75">
      <c r="C73" s="41"/>
      <c r="D73" s="30"/>
      <c r="E73" s="30"/>
      <c r="F73" s="30"/>
      <c r="G73" s="30"/>
      <c r="H73" s="30"/>
      <c r="I73" s="30"/>
      <c r="J73" s="30"/>
      <c r="M73" s="220" t="s">
        <v>4</v>
      </c>
      <c r="N73" s="220"/>
    </row>
    <row r="74" spans="3:13" ht="12.75">
      <c r="C74" s="42"/>
      <c r="D74" s="30"/>
      <c r="E74" s="30"/>
      <c r="F74" s="30"/>
      <c r="G74" s="30"/>
      <c r="H74" s="30"/>
      <c r="I74" s="30"/>
      <c r="M74" s="32" t="s">
        <v>47</v>
      </c>
    </row>
    <row r="75" spans="3:13" ht="12.75">
      <c r="C75" s="28" t="e">
        <f>#REF!-C74</f>
        <v>#REF!</v>
      </c>
      <c r="M75" s="32" t="s">
        <v>48</v>
      </c>
    </row>
    <row r="76" ht="12.75">
      <c r="K76" s="45"/>
    </row>
    <row r="77" spans="13:16" ht="12.75">
      <c r="M77" s="31" t="s">
        <v>5</v>
      </c>
      <c r="P77" s="7" t="s">
        <v>105</v>
      </c>
    </row>
    <row r="78" spans="13:16" ht="12.75">
      <c r="M78" s="32" t="s">
        <v>49</v>
      </c>
      <c r="P78" s="7" t="s">
        <v>3</v>
      </c>
    </row>
    <row r="79" spans="13:16" ht="12.75">
      <c r="M79" s="32" t="s">
        <v>50</v>
      </c>
      <c r="P79" s="7" t="s">
        <v>106</v>
      </c>
    </row>
    <row r="80" ht="12.75">
      <c r="M80" s="31" t="s">
        <v>6</v>
      </c>
    </row>
    <row r="81" ht="12.75">
      <c r="M81" s="32" t="s">
        <v>57</v>
      </c>
    </row>
    <row r="82" ht="12.75">
      <c r="M82" s="32"/>
    </row>
    <row r="83" ht="12.75">
      <c r="M83" s="32"/>
    </row>
    <row r="84" ht="12.75">
      <c r="M84" s="32"/>
    </row>
    <row r="85" ht="12.75">
      <c r="M85" s="32"/>
    </row>
    <row r="87" ht="12.75">
      <c r="M87" s="32"/>
    </row>
    <row r="88" ht="12.75">
      <c r="M88" s="32"/>
    </row>
    <row r="89" ht="12.75">
      <c r="M89" s="32" t="s">
        <v>58</v>
      </c>
    </row>
    <row r="90" ht="12.75">
      <c r="M90" s="32"/>
    </row>
    <row r="94" ht="12.75">
      <c r="M94" s="32"/>
    </row>
    <row r="103" ht="12.75">
      <c r="M103" s="31" t="s">
        <v>14</v>
      </c>
    </row>
    <row r="104" ht="12.75">
      <c r="M104" s="32"/>
    </row>
    <row r="105" ht="12.75">
      <c r="M105" s="32" t="s">
        <v>51</v>
      </c>
    </row>
    <row r="106" ht="12.75">
      <c r="M106" s="32" t="s">
        <v>52</v>
      </c>
    </row>
    <row r="107" ht="12.75">
      <c r="M107" s="32"/>
    </row>
    <row r="108" ht="12.75">
      <c r="M108" s="32"/>
    </row>
    <row r="111" spans="13:19" ht="12.75">
      <c r="M111" s="31" t="s">
        <v>15</v>
      </c>
      <c r="N111" s="29"/>
      <c r="O111" s="29"/>
      <c r="P111" s="29"/>
      <c r="Q111" s="29"/>
      <c r="R111" s="29"/>
      <c r="S111" s="29"/>
    </row>
    <row r="112" ht="12.75">
      <c r="M112" s="32" t="s">
        <v>51</v>
      </c>
    </row>
    <row r="113" ht="12.75">
      <c r="M113" s="32" t="s">
        <v>52</v>
      </c>
    </row>
    <row r="115" ht="12.75">
      <c r="M115" s="32" t="s">
        <v>85</v>
      </c>
    </row>
    <row r="116" ht="12.75">
      <c r="M116" s="32" t="s">
        <v>86</v>
      </c>
    </row>
    <row r="117" ht="12.75">
      <c r="M117" s="32"/>
    </row>
    <row r="119" ht="12.75">
      <c r="M119" s="30"/>
    </row>
    <row r="120" ht="12.75">
      <c r="M120" s="31" t="s">
        <v>27</v>
      </c>
    </row>
    <row r="121" ht="12.75">
      <c r="M121" s="33">
        <v>0.35</v>
      </c>
    </row>
    <row r="122" ht="12.75">
      <c r="M122" s="33">
        <v>0.4</v>
      </c>
    </row>
    <row r="123" ht="12.75">
      <c r="M123" s="33">
        <v>0.45</v>
      </c>
    </row>
    <row r="125" spans="13:16" ht="12.75">
      <c r="M125" s="31" t="s">
        <v>28</v>
      </c>
      <c r="P125" s="50">
        <f>IF($C$2=$M$75,1+((#REF!-(8+(5*(#REF!-0.5))/#REF!))^2)/150,1)</f>
        <v>1</v>
      </c>
    </row>
    <row r="126" ht="12.75">
      <c r="M126" s="32" t="s">
        <v>30</v>
      </c>
    </row>
    <row r="127" ht="12.75">
      <c r="M127" s="32" t="s">
        <v>29</v>
      </c>
    </row>
    <row r="128" ht="12.75">
      <c r="M128" s="32"/>
    </row>
    <row r="131" spans="13:15" ht="12.75">
      <c r="M131" s="184" t="s">
        <v>107</v>
      </c>
      <c r="N131" s="184"/>
      <c r="O131" s="184"/>
    </row>
    <row r="132" spans="13:15" ht="12.75">
      <c r="M132" s="184"/>
      <c r="N132" s="184"/>
      <c r="O132" s="184"/>
    </row>
    <row r="133" spans="13:15" ht="12.75">
      <c r="M133" s="184"/>
      <c r="N133" s="184"/>
      <c r="O133" s="184"/>
    </row>
    <row r="134" spans="13:15" ht="12.75">
      <c r="M134" s="184"/>
      <c r="N134" s="184"/>
      <c r="O134" s="184"/>
    </row>
    <row r="135" spans="13:15" ht="12.75">
      <c r="M135" s="56" t="e">
        <f>IF(#REF!=$M$79,"N/A",50%)</f>
        <v>#REF!</v>
      </c>
      <c r="N135">
        <v>1.035</v>
      </c>
      <c r="O135" s="2">
        <v>0.5</v>
      </c>
    </row>
    <row r="136" spans="13:15" ht="12.75">
      <c r="M136" s="56" t="e">
        <f>IF(#REF!=$M$79," ",60%)</f>
        <v>#REF!</v>
      </c>
      <c r="N136">
        <v>1.05</v>
      </c>
      <c r="O136" s="2">
        <v>0.6</v>
      </c>
    </row>
    <row r="137" spans="13:15" ht="12.75">
      <c r="M137" s="56" t="e">
        <f>IF(#REF!=$M$79," ",70%)</f>
        <v>#REF!</v>
      </c>
      <c r="N137">
        <v>1.1</v>
      </c>
      <c r="O137" s="2">
        <v>0.7</v>
      </c>
    </row>
    <row r="138" spans="13:15" ht="12.75">
      <c r="M138" s="56" t="e">
        <f>IF(#REF!=$M$79," ",80%)</f>
        <v>#REF!</v>
      </c>
      <c r="N138">
        <v>1.2</v>
      </c>
      <c r="O138" s="2">
        <v>0.8</v>
      </c>
    </row>
    <row r="139" spans="13:15" ht="12.75">
      <c r="M139" s="56" t="e">
        <f>IF(#REF!=$M$79," ",90%)</f>
        <v>#REF!</v>
      </c>
      <c r="N139">
        <v>1.4</v>
      </c>
      <c r="O139" s="2">
        <v>0.9</v>
      </c>
    </row>
    <row r="140" spans="13:15" ht="12.75">
      <c r="M140" s="56" t="e">
        <f>IF(#REF!=$M$79," ",92%)</f>
        <v>#REF!</v>
      </c>
      <c r="N140">
        <v>1.46</v>
      </c>
      <c r="O140" s="2">
        <v>0.92</v>
      </c>
    </row>
    <row r="141" spans="13:15" ht="12.75">
      <c r="M141" s="56" t="e">
        <f>IF(#REF!=$M$79," ",95%)</f>
        <v>#REF!</v>
      </c>
      <c r="N141">
        <v>1.57</v>
      </c>
      <c r="O141" s="2">
        <v>0.95</v>
      </c>
    </row>
    <row r="142" spans="13:15" ht="12.75">
      <c r="M142" s="56" t="e">
        <f>IF(#REF!=$M$79," ",98%)</f>
        <v>#REF!</v>
      </c>
      <c r="N142">
        <v>1.7</v>
      </c>
      <c r="O142" s="2">
        <v>0.98</v>
      </c>
    </row>
    <row r="144" ht="12.75">
      <c r="M144" s="60"/>
    </row>
    <row r="148" spans="14:18" ht="12.75">
      <c r="N148" s="181" t="s">
        <v>120</v>
      </c>
      <c r="O148" s="181"/>
      <c r="P148" s="181"/>
      <c r="R148" s="7" t="s">
        <v>129</v>
      </c>
    </row>
    <row r="149" spans="14:18" ht="12.75">
      <c r="N149" s="7" t="s">
        <v>128</v>
      </c>
      <c r="O149" s="7" t="s">
        <v>121</v>
      </c>
      <c r="P149" s="7" t="s">
        <v>119</v>
      </c>
      <c r="R149" s="7" t="e">
        <f>((#REF!/#REF!)^0.5)*(((#REF!*#REF!)/(#REF!*((#REF!)^0.5)))^0.3333)</f>
        <v>#REF!</v>
      </c>
    </row>
    <row r="150" spans="14:15" ht="12.75">
      <c r="N150" s="7" t="s">
        <v>122</v>
      </c>
      <c r="O150" s="7">
        <v>350</v>
      </c>
    </row>
    <row r="151" spans="14:18" ht="12.75">
      <c r="N151" s="7" t="s">
        <v>123</v>
      </c>
      <c r="O151" s="7">
        <v>350</v>
      </c>
      <c r="R151" s="7" t="s">
        <v>130</v>
      </c>
    </row>
    <row r="152" spans="14:18" ht="12.75">
      <c r="N152" s="45" t="s">
        <v>124</v>
      </c>
      <c r="O152" s="7">
        <v>330</v>
      </c>
      <c r="R152" s="7" t="e">
        <f>((#REF!^0.75)/160)*(((#REF!*#REF!)/(#REF!*((#REF!)^0.5)))^0.5)</f>
        <v>#REF!</v>
      </c>
    </row>
    <row r="153" spans="14:15" ht="12.75">
      <c r="N153" s="7" t="s">
        <v>125</v>
      </c>
      <c r="O153" s="7">
        <v>330</v>
      </c>
    </row>
    <row r="154" spans="14:15" ht="12.75">
      <c r="N154" s="7" t="s">
        <v>126</v>
      </c>
      <c r="O154" s="7">
        <v>335</v>
      </c>
    </row>
    <row r="155" spans="14:15" ht="12.75">
      <c r="N155" s="7" t="s">
        <v>127</v>
      </c>
      <c r="O155" s="7">
        <v>335</v>
      </c>
    </row>
  </sheetData>
  <sheetProtection password="8E6E" sheet="1" objects="1" scenarios="1" selectLockedCells="1"/>
  <mergeCells count="24">
    <mergeCell ref="N148:P148"/>
    <mergeCell ref="A3:B3"/>
    <mergeCell ref="M131:O134"/>
    <mergeCell ref="A5:B5"/>
    <mergeCell ref="A7:B7"/>
    <mergeCell ref="A6:B6"/>
    <mergeCell ref="A8:B8"/>
    <mergeCell ref="A19:B19"/>
    <mergeCell ref="A21:B21"/>
    <mergeCell ref="A17:B17"/>
    <mergeCell ref="R2:S4"/>
    <mergeCell ref="A12:B12"/>
    <mergeCell ref="A13:B13"/>
    <mergeCell ref="H5:I5"/>
    <mergeCell ref="U5:V5"/>
    <mergeCell ref="A9:B9"/>
    <mergeCell ref="A11:B11"/>
    <mergeCell ref="J2:L4"/>
    <mergeCell ref="M73:N73"/>
    <mergeCell ref="O2:Q4"/>
    <mergeCell ref="M2:N4"/>
    <mergeCell ref="A2:B2"/>
    <mergeCell ref="A10:B10"/>
    <mergeCell ref="A18:B18"/>
  </mergeCells>
  <conditionalFormatting sqref="H6">
    <cfRule type="expression" priority="1" dxfId="0" stopIfTrue="1">
      <formula>$J$11&gt;$M$11</formula>
    </cfRule>
  </conditionalFormatting>
  <dataValidations count="2">
    <dataValidation type="list" allowBlank="1" showInputMessage="1" showErrorMessage="1" sqref="L7">
      <formula1>dianommetros</formula1>
    </dataValidation>
    <dataValidation type="list" showInputMessage="1" showErrorMessage="1" sqref="C2">
      <formula1>$M$74:$M$75</formula1>
    </dataValidation>
  </dataValidations>
  <printOptions/>
  <pageMargins left="0.17" right="0.16" top="0.17" bottom="0.15" header="0.08" footer="0.15"/>
  <pageSetup fitToHeight="1" fitToWidth="1" horizontalDpi="600" verticalDpi="600" orientation="landscape" paperSize="9" r:id="rId2"/>
  <headerFooter alignWithMargins="0">
    <oddFooter>&amp;L&amp;8&amp;F&amp;C&amp;G&amp;R&amp;8© Hatch 2009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2:E40"/>
  <sheetViews>
    <sheetView zoomScale="85" zoomScaleNormal="85" zoomScalePageLayoutView="0" workbookViewId="0" topLeftCell="A1">
      <selection activeCell="C11" sqref="C11"/>
    </sheetView>
  </sheetViews>
  <sheetFormatPr defaultColWidth="9.140625" defaultRowHeight="12.75"/>
  <cols>
    <col min="1" max="1" width="10.421875" style="0" bestFit="1" customWidth="1"/>
  </cols>
  <sheetData>
    <row r="2" ht="12.75">
      <c r="A2" t="s">
        <v>176</v>
      </c>
    </row>
    <row r="3" spans="1:2" ht="12.75">
      <c r="A3" s="184" t="s">
        <v>177</v>
      </c>
      <c r="B3" s="181"/>
    </row>
    <row r="4" spans="1:2" ht="12.75">
      <c r="A4" s="181"/>
      <c r="B4" s="181"/>
    </row>
    <row r="6" ht="12.75">
      <c r="A6" t="s">
        <v>181</v>
      </c>
    </row>
    <row r="7" spans="1:2" ht="12.75">
      <c r="A7" s="225" t="s">
        <v>182</v>
      </c>
      <c r="B7" s="226"/>
    </row>
    <row r="8" spans="1:2" ht="12.75">
      <c r="A8" s="226"/>
      <c r="B8" s="226"/>
    </row>
    <row r="13" spans="2:3" ht="12.75">
      <c r="B13">
        <f>PI()</f>
        <v>3.141592653589793</v>
      </c>
      <c r="C13">
        <f>B13-(SIN(B13))</f>
        <v>3.141592653589793</v>
      </c>
    </row>
    <row r="14" spans="2:5" ht="12.75">
      <c r="B14">
        <f>B13/1.25</f>
        <v>2.5132741228718345</v>
      </c>
      <c r="C14">
        <f>B14-(SIN(B14))</f>
        <v>1.9254888705793611</v>
      </c>
      <c r="D14">
        <f aca="true" t="shared" si="0" ref="D14:D22">1.9707*C14^0.3534</f>
        <v>2.4841471071777526</v>
      </c>
      <c r="E14" s="63"/>
    </row>
    <row r="15" spans="2:5" ht="12.75">
      <c r="B15">
        <f>B13/1.5</f>
        <v>2.0943951023931953</v>
      </c>
      <c r="C15">
        <f aca="true" t="shared" si="1" ref="C15:C22">B15-(SIN(B15))</f>
        <v>1.2283696986087564</v>
      </c>
      <c r="D15">
        <f t="shared" si="0"/>
        <v>2.119285265484134</v>
      </c>
      <c r="E15" s="63">
        <f aca="true" t="shared" si="2" ref="E15:E22">D15/B15</f>
        <v>1.011884177470859</v>
      </c>
    </row>
    <row r="16" spans="2:5" ht="12.75">
      <c r="B16">
        <f>B13/1.75</f>
        <v>1.7951958020513104</v>
      </c>
      <c r="C16">
        <f t="shared" si="1"/>
        <v>0.8202678898694867</v>
      </c>
      <c r="D16">
        <f t="shared" si="0"/>
        <v>1.837437031569797</v>
      </c>
      <c r="E16" s="63">
        <f t="shared" si="2"/>
        <v>1.0235301516805124</v>
      </c>
    </row>
    <row r="17" spans="2:5" ht="12.75">
      <c r="B17">
        <f>B13/2</f>
        <v>1.5707963267948966</v>
      </c>
      <c r="C17">
        <f t="shared" si="1"/>
        <v>0.5707963267948966</v>
      </c>
      <c r="D17">
        <f t="shared" si="0"/>
        <v>1.6164451106992543</v>
      </c>
      <c r="E17" s="63">
        <f t="shared" si="2"/>
        <v>1.0290609184180493</v>
      </c>
    </row>
    <row r="18" spans="2:5" ht="12.75">
      <c r="B18">
        <f>B13/3</f>
        <v>1.0471975511965976</v>
      </c>
      <c r="C18">
        <f t="shared" si="1"/>
        <v>0.18117214741215903</v>
      </c>
      <c r="D18">
        <f t="shared" si="0"/>
        <v>1.077531633228065</v>
      </c>
      <c r="E18" s="63">
        <f t="shared" si="2"/>
        <v>1.0289669145967784</v>
      </c>
    </row>
    <row r="19" spans="2:5" ht="12.75">
      <c r="B19">
        <f>B13/4</f>
        <v>0.7853981633974483</v>
      </c>
      <c r="C19">
        <f t="shared" si="1"/>
        <v>0.07829138221090082</v>
      </c>
      <c r="D19">
        <f t="shared" si="0"/>
        <v>0.8010489033831724</v>
      </c>
      <c r="E19" s="63">
        <f t="shared" si="2"/>
        <v>1.0199271410541917</v>
      </c>
    </row>
    <row r="20" spans="2:5" ht="12.75">
      <c r="B20">
        <f>B13/6</f>
        <v>0.5235987755982988</v>
      </c>
      <c r="C20">
        <f t="shared" si="1"/>
        <v>0.02359877559829887</v>
      </c>
      <c r="D20">
        <f t="shared" si="0"/>
        <v>0.5243239013136363</v>
      </c>
      <c r="E20" s="63">
        <f t="shared" si="2"/>
        <v>1.0013848881035081</v>
      </c>
    </row>
    <row r="21" spans="2:5" ht="12.75">
      <c r="B21">
        <f>B13/8</f>
        <v>0.39269908169872414</v>
      </c>
      <c r="C21">
        <f t="shared" si="1"/>
        <v>0.010015649333634358</v>
      </c>
      <c r="D21">
        <f t="shared" si="0"/>
        <v>0.38731160890201527</v>
      </c>
      <c r="E21" s="63">
        <f t="shared" si="2"/>
        <v>0.9862809131780906</v>
      </c>
    </row>
    <row r="22" spans="2:5" ht="12.75">
      <c r="B22">
        <f>B13/10</f>
        <v>0.3141592653589793</v>
      </c>
      <c r="C22">
        <f t="shared" si="1"/>
        <v>0.005142270984031916</v>
      </c>
      <c r="D22">
        <f t="shared" si="0"/>
        <v>0.3060149747884988</v>
      </c>
      <c r="E22" s="63">
        <f t="shared" si="2"/>
        <v>0.9740759179546263</v>
      </c>
    </row>
    <row r="23" ht="12.75">
      <c r="E23" s="63">
        <f>AVERAGE(E15:E22)</f>
        <v>1.009388877807077</v>
      </c>
    </row>
    <row r="24" spans="1:3" ht="12.75">
      <c r="A24" s="62" t="s">
        <v>137</v>
      </c>
      <c r="B24" s="65">
        <f>Dados!C6/2</f>
        <v>3.1089599999999997</v>
      </c>
      <c r="C24" t="s">
        <v>138</v>
      </c>
    </row>
    <row r="25" spans="1:3" ht="12.75">
      <c r="A25" s="62" t="s">
        <v>139</v>
      </c>
      <c r="B25">
        <f>PI()*Dados!C6^2/4</f>
        <v>30.365479368174906</v>
      </c>
      <c r="C25" t="s">
        <v>138</v>
      </c>
    </row>
    <row r="26" spans="1:5" ht="12.75">
      <c r="A26" s="62" t="s">
        <v>140</v>
      </c>
      <c r="B26">
        <f>B25*Dados!C10</f>
        <v>12.146191747269963</v>
      </c>
      <c r="C26" t="s">
        <v>138</v>
      </c>
      <c r="D26" s="62" t="s">
        <v>141</v>
      </c>
      <c r="E26">
        <f>0.5167*B27+1.5184</f>
        <v>2.8170087392878767</v>
      </c>
    </row>
    <row r="27" spans="1:5" ht="12.75">
      <c r="A27" s="62" t="s">
        <v>150</v>
      </c>
      <c r="B27">
        <f>B26*2/B$24^2</f>
        <v>2.5132741228718345</v>
      </c>
      <c r="D27" s="62" t="s">
        <v>142</v>
      </c>
      <c r="E27">
        <f>1.9707*B27^0.3534</f>
        <v>2.7293880326642226</v>
      </c>
    </row>
    <row r="28" spans="1:5" ht="12.75">
      <c r="A28" s="62" t="s">
        <v>143</v>
      </c>
      <c r="B28">
        <f>B25*Dados!C12</f>
        <v>12.146191747269963</v>
      </c>
      <c r="C28" t="s">
        <v>138</v>
      </c>
      <c r="D28" s="62" t="s">
        <v>141</v>
      </c>
      <c r="E28">
        <f>0.5167*B29+1.5184</f>
        <v>2.8170087392878767</v>
      </c>
    </row>
    <row r="29" spans="1:5" ht="12.75">
      <c r="A29" s="62" t="s">
        <v>151</v>
      </c>
      <c r="B29">
        <f>B28*2/B$24^2</f>
        <v>2.5132741228718345</v>
      </c>
      <c r="D29" s="62" t="s">
        <v>142</v>
      </c>
      <c r="E29">
        <f>1.9707*B29^0.3534</f>
        <v>2.7293880326642226</v>
      </c>
    </row>
    <row r="30" spans="1:5" ht="12.75">
      <c r="A30" s="64" t="s">
        <v>144</v>
      </c>
      <c r="B30" s="65">
        <f>IF(Cálculos!B27&gt;=1.93,Cálculos!E26,Cálculos!E27)</f>
        <v>2.8170087392878767</v>
      </c>
      <c r="C30" s="63" t="s">
        <v>145</v>
      </c>
      <c r="D30" s="62" t="s">
        <v>146</v>
      </c>
      <c r="E30">
        <f>(4*B24*(SIN(B30/2))^3)/(3*B27)</f>
        <v>1.5851853246290502</v>
      </c>
    </row>
    <row r="31" spans="1:5" ht="12.75">
      <c r="A31" s="64" t="s">
        <v>147</v>
      </c>
      <c r="B31" s="65">
        <f>IF(Cálculos!B29&gt;=1.93,Cálculos!E28,Cálculos!E29)</f>
        <v>2.8170087392878767</v>
      </c>
      <c r="C31" s="63" t="s">
        <v>145</v>
      </c>
      <c r="D31" s="62" t="s">
        <v>148</v>
      </c>
      <c r="E31">
        <f>(4*B24*(SIN(B31/2))^3)/(3*B29)</f>
        <v>1.5851853246290502</v>
      </c>
    </row>
    <row r="33" spans="1:2" ht="12.75">
      <c r="A33" s="62" t="s">
        <v>174</v>
      </c>
      <c r="B33">
        <f>B26*E30</f>
        <v>19.253964907902827</v>
      </c>
    </row>
    <row r="34" spans="1:2" ht="12.75">
      <c r="A34" s="62" t="s">
        <v>175</v>
      </c>
      <c r="B34">
        <f>B28*E31</f>
        <v>19.253964907902827</v>
      </c>
    </row>
    <row r="35" spans="1:2" ht="12.75">
      <c r="A35" s="62" t="s">
        <v>149</v>
      </c>
      <c r="B35" s="63">
        <f>(B34/B33)</f>
        <v>1</v>
      </c>
    </row>
    <row r="38" ht="12.75">
      <c r="A38" s="62" t="s">
        <v>178</v>
      </c>
    </row>
    <row r="39" ht="12.75">
      <c r="A39" t="s">
        <v>179</v>
      </c>
    </row>
    <row r="40" ht="12.75">
      <c r="A40" t="s">
        <v>180</v>
      </c>
    </row>
  </sheetData>
  <sheetProtection password="8E6E" sheet="1" objects="1" scenarios="1" selectLockedCells="1"/>
  <mergeCells count="2">
    <mergeCell ref="A3:B4"/>
    <mergeCell ref="A7:B8"/>
  </mergeCells>
  <printOptions/>
  <pageMargins left="0.787401575" right="0.787401575" top="0.984251969" bottom="0.984251969" header="0.5" footer="0.5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G37"/>
  <sheetViews>
    <sheetView showGridLines="0" zoomScale="115" zoomScaleNormal="115" zoomScalePageLayoutView="0" workbookViewId="0" topLeftCell="A1">
      <selection activeCell="C3" sqref="C3"/>
    </sheetView>
  </sheetViews>
  <sheetFormatPr defaultColWidth="9.140625" defaultRowHeight="12.75"/>
  <cols>
    <col min="3" max="4" width="6.57421875" style="0" bestFit="1" customWidth="1"/>
    <col min="5" max="7" width="7.57421875" style="0" bestFit="1" customWidth="1"/>
  </cols>
  <sheetData>
    <row r="1" ht="18">
      <c r="A1" s="97" t="s">
        <v>172</v>
      </c>
    </row>
    <row r="3" spans="2:7" ht="12.75">
      <c r="B3" s="14" t="s">
        <v>173</v>
      </c>
      <c r="C3" s="101">
        <v>0.25</v>
      </c>
      <c r="D3" s="101">
        <v>0.3</v>
      </c>
      <c r="E3" s="101">
        <v>0.35</v>
      </c>
      <c r="F3" s="101">
        <v>0.4</v>
      </c>
      <c r="G3" s="101">
        <v>0.45</v>
      </c>
    </row>
    <row r="4" spans="2:7" ht="12.75">
      <c r="B4" s="98">
        <v>3</v>
      </c>
      <c r="C4" s="102">
        <v>5.9</v>
      </c>
      <c r="D4" s="102">
        <v>6.5</v>
      </c>
      <c r="E4" s="102">
        <v>7</v>
      </c>
      <c r="F4" s="102">
        <v>7</v>
      </c>
      <c r="G4" s="102">
        <v>7</v>
      </c>
    </row>
    <row r="5" spans="2:7" ht="12.75">
      <c r="B5" s="14">
        <v>4</v>
      </c>
      <c r="C5" s="102">
        <v>16</v>
      </c>
      <c r="D5" s="102">
        <v>17.5</v>
      </c>
      <c r="E5" s="102">
        <v>19</v>
      </c>
      <c r="F5" s="102">
        <v>20</v>
      </c>
      <c r="G5" s="102">
        <v>20.6</v>
      </c>
    </row>
    <row r="6" spans="2:7" ht="12.75">
      <c r="B6" s="14">
        <v>5</v>
      </c>
      <c r="C6" s="102">
        <v>35.1</v>
      </c>
      <c r="D6" s="102">
        <v>38.5</v>
      </c>
      <c r="E6" s="102">
        <v>41.8</v>
      </c>
      <c r="F6" s="102">
        <v>45</v>
      </c>
      <c r="G6" s="102">
        <v>47.4</v>
      </c>
    </row>
    <row r="7" spans="2:7" ht="12.75">
      <c r="B7" s="14">
        <v>6</v>
      </c>
      <c r="C7" s="102">
        <v>67.1</v>
      </c>
      <c r="D7" s="102">
        <v>73.5</v>
      </c>
      <c r="E7" s="102">
        <v>79.8</v>
      </c>
      <c r="F7" s="102">
        <v>85</v>
      </c>
      <c r="G7" s="102">
        <v>88.7</v>
      </c>
    </row>
    <row r="8" spans="2:7" ht="12.75">
      <c r="B8" s="14">
        <v>7</v>
      </c>
      <c r="C8" s="102">
        <v>115.1</v>
      </c>
      <c r="D8" s="102">
        <v>126.1</v>
      </c>
      <c r="E8" s="102">
        <v>136.8</v>
      </c>
      <c r="F8" s="102">
        <v>145</v>
      </c>
      <c r="G8" s="102">
        <v>150.5</v>
      </c>
    </row>
    <row r="9" spans="2:7" ht="12.75">
      <c r="B9" s="14">
        <v>8</v>
      </c>
      <c r="C9" s="102">
        <v>180.6</v>
      </c>
      <c r="D9" s="102">
        <v>197.9</v>
      </c>
      <c r="E9" s="102">
        <v>214.7</v>
      </c>
      <c r="F9" s="102">
        <v>228</v>
      </c>
      <c r="G9" s="102">
        <v>237.2</v>
      </c>
    </row>
    <row r="10" spans="2:7" ht="12.75">
      <c r="B10" s="14">
        <v>8.5</v>
      </c>
      <c r="C10" s="102">
        <v>210.1</v>
      </c>
      <c r="D10" s="102">
        <v>230.2</v>
      </c>
      <c r="E10" s="102">
        <v>249.8</v>
      </c>
      <c r="F10" s="102">
        <v>266</v>
      </c>
      <c r="G10" s="102">
        <v>277.3</v>
      </c>
    </row>
    <row r="11" spans="2:7" ht="12.75">
      <c r="B11" s="14">
        <v>9</v>
      </c>
      <c r="C11" s="102">
        <v>270.9</v>
      </c>
      <c r="D11" s="102">
        <v>296.8</v>
      </c>
      <c r="E11" s="102">
        <v>322</v>
      </c>
      <c r="F11" s="102">
        <v>342</v>
      </c>
      <c r="G11" s="102">
        <v>355.7</v>
      </c>
    </row>
    <row r="12" spans="2:7" ht="12.75">
      <c r="B12" s="14">
        <v>9.5</v>
      </c>
      <c r="C12" s="102">
        <v>308.4</v>
      </c>
      <c r="D12" s="102">
        <v>337.9</v>
      </c>
      <c r="E12" s="102">
        <v>366.6</v>
      </c>
      <c r="F12" s="102">
        <v>390</v>
      </c>
      <c r="G12" s="102">
        <v>406.2</v>
      </c>
    </row>
    <row r="13" spans="2:7" ht="12.75">
      <c r="B13" s="14">
        <v>10</v>
      </c>
      <c r="C13" s="102">
        <v>388.3</v>
      </c>
      <c r="D13" s="102">
        <v>425.4</v>
      </c>
      <c r="E13" s="102">
        <v>461.6</v>
      </c>
      <c r="F13" s="102">
        <v>491</v>
      </c>
      <c r="G13" s="102">
        <v>512.4</v>
      </c>
    </row>
    <row r="14" spans="2:7" ht="12.75">
      <c r="B14" s="14">
        <v>10.5</v>
      </c>
      <c r="C14" s="102">
        <v>436.2</v>
      </c>
      <c r="D14" s="102">
        <v>477.9</v>
      </c>
      <c r="E14" s="102">
        <v>518.6</v>
      </c>
      <c r="F14" s="102">
        <v>552</v>
      </c>
      <c r="G14" s="102">
        <v>575.3</v>
      </c>
    </row>
    <row r="15" spans="2:7" ht="12.75">
      <c r="B15" s="14">
        <v>11</v>
      </c>
      <c r="C15" s="102">
        <v>512.9</v>
      </c>
      <c r="D15" s="102">
        <v>562</v>
      </c>
      <c r="E15" s="102">
        <v>609.8</v>
      </c>
      <c r="F15" s="102">
        <v>649</v>
      </c>
      <c r="G15" s="102">
        <v>676.4</v>
      </c>
    </row>
    <row r="16" spans="2:7" ht="12.75">
      <c r="B16" s="14">
        <v>11.5</v>
      </c>
      <c r="C16" s="102">
        <v>567.3</v>
      </c>
      <c r="D16" s="102">
        <v>621.5</v>
      </c>
      <c r="E16" s="102">
        <v>674.4</v>
      </c>
      <c r="F16" s="102">
        <v>718</v>
      </c>
      <c r="G16" s="102">
        <v>746.5</v>
      </c>
    </row>
    <row r="17" spans="2:7" ht="12.75">
      <c r="B17" s="14">
        <v>12</v>
      </c>
      <c r="C17" s="102">
        <v>683.1</v>
      </c>
      <c r="D17" s="102">
        <v>748.4</v>
      </c>
      <c r="E17" s="102">
        <v>812.1</v>
      </c>
      <c r="F17" s="102">
        <v>864</v>
      </c>
      <c r="G17" s="102">
        <v>900.1</v>
      </c>
    </row>
    <row r="18" spans="2:7" ht="12.75">
      <c r="B18" s="14">
        <v>12.5</v>
      </c>
      <c r="C18" s="103">
        <v>753.4</v>
      </c>
      <c r="D18" s="103">
        <v>825.4</v>
      </c>
      <c r="E18" s="103">
        <v>895.6</v>
      </c>
      <c r="F18" s="103">
        <v>954</v>
      </c>
      <c r="G18" s="103">
        <v>992.9</v>
      </c>
    </row>
    <row r="19" spans="2:7" ht="12.75">
      <c r="B19" s="14">
        <v>13</v>
      </c>
      <c r="C19" s="103">
        <v>894.1</v>
      </c>
      <c r="D19" s="103">
        <v>979.6</v>
      </c>
      <c r="E19" s="103">
        <v>1062.9</v>
      </c>
      <c r="F19" s="103">
        <v>1130</v>
      </c>
      <c r="G19" s="103">
        <v>1177.4</v>
      </c>
    </row>
    <row r="20" spans="2:7" ht="12.75">
      <c r="B20" s="14">
        <v>13.5</v>
      </c>
      <c r="C20" s="103">
        <v>1000.3</v>
      </c>
      <c r="D20" s="103">
        <v>1095.9</v>
      </c>
      <c r="E20" s="103">
        <v>1189.2</v>
      </c>
      <c r="F20" s="103">
        <v>1266</v>
      </c>
      <c r="G20" s="103">
        <v>1320.7</v>
      </c>
    </row>
    <row r="21" spans="2:7" ht="12.75">
      <c r="B21" s="14">
        <v>14</v>
      </c>
      <c r="C21" s="103">
        <v>1156.9</v>
      </c>
      <c r="D21" s="103">
        <v>1267.5</v>
      </c>
      <c r="E21" s="103">
        <v>1375.3</v>
      </c>
      <c r="F21" s="103">
        <v>1464</v>
      </c>
      <c r="G21" s="103">
        <v>1526.9</v>
      </c>
    </row>
    <row r="22" spans="2:7" ht="12.75">
      <c r="B22" s="14">
        <v>14.5</v>
      </c>
      <c r="C22" s="103">
        <v>1255.2</v>
      </c>
      <c r="D22" s="103">
        <v>1375.2</v>
      </c>
      <c r="E22" s="103">
        <v>1492.2</v>
      </c>
      <c r="F22" s="103">
        <v>1588</v>
      </c>
      <c r="G22" s="103">
        <v>1655.8</v>
      </c>
    </row>
    <row r="23" spans="2:7" ht="12.75">
      <c r="B23" s="14">
        <v>15</v>
      </c>
      <c r="C23" s="103">
        <v>1435.7</v>
      </c>
      <c r="D23" s="103">
        <v>1573</v>
      </c>
      <c r="E23" s="103">
        <v>1706.8</v>
      </c>
      <c r="F23" s="103">
        <v>1817</v>
      </c>
      <c r="G23" s="103">
        <v>1893</v>
      </c>
    </row>
    <row r="24" spans="2:7" ht="12.75">
      <c r="B24" s="14">
        <v>15.5</v>
      </c>
      <c r="C24" s="103">
        <v>1546</v>
      </c>
      <c r="D24" s="103">
        <v>1693.8</v>
      </c>
      <c r="E24" s="103">
        <v>1837.9</v>
      </c>
      <c r="F24" s="103">
        <v>1956</v>
      </c>
      <c r="G24" s="103">
        <v>2037.3</v>
      </c>
    </row>
    <row r="25" spans="2:7" ht="12.75">
      <c r="B25" s="14">
        <v>16</v>
      </c>
      <c r="C25" s="103">
        <v>1753</v>
      </c>
      <c r="D25" s="103">
        <v>1920.5</v>
      </c>
      <c r="E25" s="103">
        <v>2083.9</v>
      </c>
      <c r="F25" s="103">
        <v>2217</v>
      </c>
      <c r="G25" s="103">
        <v>2308.5</v>
      </c>
    </row>
    <row r="26" spans="2:7" ht="12.75">
      <c r="B26" s="14">
        <v>16.5</v>
      </c>
      <c r="C26" s="103">
        <v>1875.3</v>
      </c>
      <c r="D26" s="103">
        <v>2054.5</v>
      </c>
      <c r="E26" s="103">
        <v>2229.3</v>
      </c>
      <c r="F26" s="103">
        <v>2370</v>
      </c>
      <c r="G26" s="103">
        <v>2468.3</v>
      </c>
    </row>
    <row r="27" spans="2:7" ht="12.75">
      <c r="B27" s="14">
        <v>17</v>
      </c>
      <c r="C27" s="103">
        <v>2182.7</v>
      </c>
      <c r="D27" s="103">
        <v>2391.3</v>
      </c>
      <c r="E27" s="103">
        <v>2594.8</v>
      </c>
      <c r="F27" s="103">
        <v>2764</v>
      </c>
      <c r="G27" s="103">
        <v>2882.7</v>
      </c>
    </row>
    <row r="28" spans="2:7" ht="12.75">
      <c r="B28" s="14">
        <v>17.5</v>
      </c>
      <c r="C28" s="103">
        <v>2315.9</v>
      </c>
      <c r="D28" s="103">
        <v>2534</v>
      </c>
      <c r="E28" s="103">
        <v>2749.6</v>
      </c>
      <c r="F28" s="103">
        <v>2929</v>
      </c>
      <c r="G28" s="103">
        <v>3052.9</v>
      </c>
    </row>
    <row r="29" spans="2:7" ht="13.5" thickBot="1">
      <c r="B29" s="99">
        <v>18</v>
      </c>
      <c r="C29" s="104">
        <v>2588.6</v>
      </c>
      <c r="D29" s="104">
        <v>2836.1</v>
      </c>
      <c r="E29" s="104">
        <v>3077.4</v>
      </c>
      <c r="F29" s="104">
        <v>3276</v>
      </c>
      <c r="G29" s="104">
        <v>3413.7</v>
      </c>
    </row>
    <row r="30" spans="2:7" ht="13.5" thickTop="1">
      <c r="B30" s="100">
        <v>19</v>
      </c>
      <c r="C30" s="105">
        <v>3168.9</v>
      </c>
      <c r="D30" s="105">
        <v>3471.8</v>
      </c>
      <c r="E30" s="105">
        <v>3767.2</v>
      </c>
      <c r="F30" s="105">
        <v>4035.8</v>
      </c>
      <c r="G30" s="105">
        <v>4217.5</v>
      </c>
    </row>
    <row r="31" spans="2:7" ht="12.75">
      <c r="B31" s="14">
        <v>20</v>
      </c>
      <c r="C31" s="103">
        <v>3766.4</v>
      </c>
      <c r="D31" s="103">
        <v>4126.4</v>
      </c>
      <c r="E31" s="103">
        <v>4477.5</v>
      </c>
      <c r="F31" s="103">
        <v>4800.7</v>
      </c>
      <c r="G31" s="103">
        <v>5018.7</v>
      </c>
    </row>
    <row r="32" spans="2:7" ht="12.75">
      <c r="B32" s="14">
        <v>21</v>
      </c>
      <c r="C32" s="103">
        <v>4438.9</v>
      </c>
      <c r="D32" s="103">
        <v>4863.2</v>
      </c>
      <c r="E32" s="103">
        <v>5277</v>
      </c>
      <c r="F32" s="103">
        <v>5662.5</v>
      </c>
      <c r="G32" s="103">
        <v>5921.5</v>
      </c>
    </row>
    <row r="33" spans="2:7" ht="12.75">
      <c r="B33" s="14">
        <v>22</v>
      </c>
      <c r="C33" s="103">
        <v>5191.3</v>
      </c>
      <c r="D33" s="103">
        <v>5687.5</v>
      </c>
      <c r="E33" s="103">
        <v>6171.4</v>
      </c>
      <c r="F33" s="103">
        <v>6627.9</v>
      </c>
      <c r="G33" s="103">
        <v>6933.1</v>
      </c>
    </row>
    <row r="34" spans="2:7" ht="12.75">
      <c r="B34" s="14">
        <v>23</v>
      </c>
      <c r="C34" s="103">
        <v>6030</v>
      </c>
      <c r="D34" s="103">
        <v>6606.4</v>
      </c>
      <c r="E34" s="103">
        <v>7168.5</v>
      </c>
      <c r="F34" s="103">
        <v>7703.8</v>
      </c>
      <c r="G34" s="103">
        <v>8061.8</v>
      </c>
    </row>
    <row r="35" spans="2:7" ht="12.75">
      <c r="B35" s="14">
        <v>24</v>
      </c>
      <c r="C35" s="103">
        <v>6959.3</v>
      </c>
      <c r="D35" s="103">
        <v>7624.5</v>
      </c>
      <c r="E35" s="103">
        <v>8273.2</v>
      </c>
      <c r="F35" s="103">
        <v>8897.1</v>
      </c>
      <c r="G35" s="103">
        <v>9313.3</v>
      </c>
    </row>
    <row r="36" spans="2:7" ht="12.75">
      <c r="B36" s="14">
        <v>25</v>
      </c>
      <c r="C36" s="103">
        <v>7984.5</v>
      </c>
      <c r="D36" s="103">
        <v>8747.7</v>
      </c>
      <c r="E36" s="103">
        <v>9492</v>
      </c>
      <c r="F36" s="103">
        <v>10215.1</v>
      </c>
      <c r="G36" s="103">
        <v>10696.5</v>
      </c>
    </row>
    <row r="37" spans="2:7" ht="12.75">
      <c r="B37" s="14">
        <v>26</v>
      </c>
      <c r="C37" s="103">
        <v>9111.8</v>
      </c>
      <c r="D37" s="103">
        <v>9882.8</v>
      </c>
      <c r="E37" s="103">
        <v>10832.1</v>
      </c>
      <c r="F37" s="103">
        <v>11664.9</v>
      </c>
      <c r="G37" s="103">
        <v>12217.5</v>
      </c>
    </row>
  </sheetData>
  <sheetProtection password="8E6E" sheet="1" objects="1" scenarios="1" selectLockedCells="1"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Hatch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Hatch</dc:creator>
  <cp:keywords/>
  <dc:description/>
  <cp:lastModifiedBy>Dennis Travagini Cremonese</cp:lastModifiedBy>
  <cp:lastPrinted>2014-08-19T02:28:15Z</cp:lastPrinted>
  <dcterms:created xsi:type="dcterms:W3CDTF">2008-09-10T14:12:04Z</dcterms:created>
  <dcterms:modified xsi:type="dcterms:W3CDTF">2014-08-19T02:28:21Z</dcterms:modified>
  <cp:category/>
  <cp:version/>
  <cp:contentType/>
  <cp:contentStatus/>
</cp:coreProperties>
</file>